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comments2.xml" ContentType="application/vnd.openxmlformats-officedocument.spreadsheetml.comments+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G:\staff_attorneys\Fees &amp; Cost Memo\2020\"/>
    </mc:Choice>
  </mc:AlternateContent>
  <workbookProtection lockStructure="1"/>
  <bookViews>
    <workbookView xWindow="285" yWindow="180" windowWidth="9165" windowHeight="4875" tabRatio="699" activeTab="1"/>
  </bookViews>
  <sheets>
    <sheet name="GS Court" sheetId="1" r:id="rId1"/>
    <sheet name="Magistrate Court" sheetId="2" r:id="rId2"/>
    <sheet name="Municipal Court A" sheetId="5" r:id="rId3"/>
    <sheet name="Attachment M" sheetId="4" state="hidden" r:id="rId4"/>
  </sheets>
  <definedNames>
    <definedName name="_xlnm.Print_Area" localSheetId="0">'GS Court'!$A$1:$Y$60</definedName>
    <definedName name="_xlnm.Print_Area" localSheetId="1">'Magistrate Court'!$A$1:$AS$54</definedName>
  </definedNames>
  <calcPr calcId="152511"/>
</workbook>
</file>

<file path=xl/calcChain.xml><?xml version="1.0" encoding="utf-8"?>
<calcChain xmlns="http://schemas.openxmlformats.org/spreadsheetml/2006/main">
  <c r="B30" i="2" l="1"/>
  <c r="F44" i="2" l="1"/>
  <c r="F45" i="5"/>
  <c r="F14" i="5"/>
  <c r="F13" i="5"/>
  <c r="F12" i="5"/>
  <c r="F11" i="5"/>
  <c r="F10" i="5"/>
  <c r="G45" i="5"/>
  <c r="G41" i="5"/>
  <c r="G43" i="5" s="1"/>
  <c r="F41" i="5"/>
  <c r="G30" i="5"/>
  <c r="F30" i="5"/>
  <c r="G29" i="5"/>
  <c r="F29" i="5"/>
  <c r="F14" i="2"/>
  <c r="F13" i="2"/>
  <c r="F12" i="2"/>
  <c r="F10" i="2"/>
  <c r="F11" i="2"/>
  <c r="G44" i="2"/>
  <c r="G40" i="2"/>
  <c r="G42" i="2" s="1"/>
  <c r="G30" i="2"/>
  <c r="G29" i="2"/>
  <c r="F40" i="2"/>
  <c r="F41" i="2" s="1"/>
  <c r="F30" i="2"/>
  <c r="F29" i="2"/>
  <c r="C62" i="5"/>
  <c r="C60" i="5"/>
  <c r="AN54" i="5"/>
  <c r="AO54" i="5" s="1"/>
  <c r="AL54" i="5"/>
  <c r="AM54" i="5" s="1"/>
  <c r="AJ54" i="5"/>
  <c r="AH54" i="5"/>
  <c r="AI54" i="5" s="1"/>
  <c r="BE53" i="5"/>
  <c r="BD53" i="5"/>
  <c r="AE53" i="5"/>
  <c r="AD53" i="5"/>
  <c r="AC52" i="5"/>
  <c r="AB52" i="5"/>
  <c r="W51" i="5"/>
  <c r="V51" i="5"/>
  <c r="U50" i="5"/>
  <c r="T50" i="5"/>
  <c r="S49" i="5"/>
  <c r="R49" i="5"/>
  <c r="Q48" i="5"/>
  <c r="BE47" i="5"/>
  <c r="BD47" i="5"/>
  <c r="BC47" i="5"/>
  <c r="BB47" i="5"/>
  <c r="AU47" i="5"/>
  <c r="AT47" i="5"/>
  <c r="AQ47" i="5"/>
  <c r="AP47" i="5"/>
  <c r="AG47" i="5"/>
  <c r="AF47" i="5"/>
  <c r="AE47" i="5"/>
  <c r="AD47" i="5"/>
  <c r="U47" i="5"/>
  <c r="T47" i="5"/>
  <c r="Q47" i="5"/>
  <c r="C47" i="5"/>
  <c r="B47" i="5"/>
  <c r="U46" i="5"/>
  <c r="T46" i="5"/>
  <c r="Q46" i="5"/>
  <c r="BI44" i="5"/>
  <c r="BI47" i="5" s="1"/>
  <c r="BH44" i="5"/>
  <c r="BH47" i="5" s="1"/>
  <c r="BG44" i="5"/>
  <c r="BG55" i="5" s="1"/>
  <c r="BF44" i="5"/>
  <c r="BF47" i="5" s="1"/>
  <c r="BE44" i="5"/>
  <c r="BD44" i="5"/>
  <c r="BC44" i="5"/>
  <c r="BB44" i="5"/>
  <c r="BA44" i="5"/>
  <c r="BA57" i="5" s="1"/>
  <c r="AZ44" i="5"/>
  <c r="AZ57" i="5" s="1"/>
  <c r="AY44" i="5"/>
  <c r="AY47" i="5" s="1"/>
  <c r="AX44" i="5"/>
  <c r="AX47" i="5" s="1"/>
  <c r="AW44" i="5"/>
  <c r="AW47" i="5" s="1"/>
  <c r="AV44" i="5"/>
  <c r="AV47" i="5" s="1"/>
  <c r="AU44" i="5"/>
  <c r="AT44" i="5"/>
  <c r="AQ44" i="5"/>
  <c r="AP44" i="5"/>
  <c r="AO44" i="5"/>
  <c r="AN44" i="5"/>
  <c r="AM44" i="5"/>
  <c r="AL44" i="5"/>
  <c r="AK44" i="5"/>
  <c r="AJ44" i="5"/>
  <c r="AI44" i="5"/>
  <c r="AH44" i="5"/>
  <c r="AG44" i="5"/>
  <c r="AF44" i="5"/>
  <c r="AE44" i="5"/>
  <c r="AD44" i="5"/>
  <c r="AC44" i="5"/>
  <c r="AB44" i="5"/>
  <c r="AA44" i="5"/>
  <c r="AA51" i="5" s="1"/>
  <c r="Z44" i="5"/>
  <c r="Z51" i="5" s="1"/>
  <c r="Y44" i="5"/>
  <c r="Y47" i="5" s="1"/>
  <c r="X44" i="5"/>
  <c r="X51" i="5" s="1"/>
  <c r="W44" i="5"/>
  <c r="V44" i="5"/>
  <c r="U44" i="5"/>
  <c r="T44" i="5"/>
  <c r="S44" i="5"/>
  <c r="R44" i="5"/>
  <c r="M44" i="5"/>
  <c r="M47" i="5" s="1"/>
  <c r="L44" i="5"/>
  <c r="L47" i="5" s="1"/>
  <c r="K44" i="5"/>
  <c r="K47" i="5" s="1"/>
  <c r="J44" i="5"/>
  <c r="J47" i="5" s="1"/>
  <c r="I44" i="5"/>
  <c r="I47" i="5" s="1"/>
  <c r="H44" i="5"/>
  <c r="H47" i="5" s="1"/>
  <c r="E44" i="5"/>
  <c r="E47" i="5" s="1"/>
  <c r="D44" i="5"/>
  <c r="C44" i="5"/>
  <c r="B44" i="5"/>
  <c r="D47" i="5" s="1"/>
  <c r="BC42" i="5"/>
  <c r="BB42" i="5"/>
  <c r="AY42" i="5"/>
  <c r="AX42" i="5"/>
  <c r="BC41" i="5"/>
  <c r="BB41" i="5"/>
  <c r="AY41" i="5"/>
  <c r="AX41" i="5"/>
  <c r="BG40" i="5"/>
  <c r="BG42" i="5" s="1"/>
  <c r="BF40" i="5"/>
  <c r="BF41" i="5" s="1"/>
  <c r="BE40" i="5"/>
  <c r="BE41" i="5" s="1"/>
  <c r="BD40" i="5"/>
  <c r="BD42" i="5"/>
  <c r="BA40" i="5"/>
  <c r="BA41" i="5" s="1"/>
  <c r="AZ40" i="5"/>
  <c r="AZ42" i="5" s="1"/>
  <c r="AW40" i="5"/>
  <c r="AW41" i="5" s="1"/>
  <c r="AV40" i="5"/>
  <c r="AV41" i="5" s="1"/>
  <c r="AU40" i="5"/>
  <c r="AU41" i="5" s="1"/>
  <c r="AT40" i="5"/>
  <c r="AT42" i="5" s="1"/>
  <c r="AO40" i="5"/>
  <c r="AO41" i="5" s="1"/>
  <c r="AN40" i="5"/>
  <c r="AN42" i="5" s="1"/>
  <c r="AM40" i="5"/>
  <c r="AM42" i="5" s="1"/>
  <c r="AL40" i="5"/>
  <c r="AL41" i="5" s="1"/>
  <c r="AK40" i="5"/>
  <c r="AK41" i="5" s="1"/>
  <c r="AJ40" i="5"/>
  <c r="AL26" i="5" s="1"/>
  <c r="AI40" i="5"/>
  <c r="AI42" i="5" s="1"/>
  <c r="AH40" i="5"/>
  <c r="AJ42" i="5" s="1"/>
  <c r="AG40" i="5"/>
  <c r="AG41" i="5" s="1"/>
  <c r="AF40" i="5"/>
  <c r="AF42" i="5" s="1"/>
  <c r="AE40" i="5"/>
  <c r="AE42" i="5" s="1"/>
  <c r="AD40" i="5"/>
  <c r="AD42" i="5" s="1"/>
  <c r="AC40" i="5"/>
  <c r="AC41" i="5" s="1"/>
  <c r="AB40" i="5"/>
  <c r="AB26" i="5" s="1"/>
  <c r="AA40" i="5"/>
  <c r="AA42" i="5" s="1"/>
  <c r="Z40" i="5"/>
  <c r="Z42" i="5" s="1"/>
  <c r="Y40" i="5"/>
  <c r="Y41" i="5" s="1"/>
  <c r="X40" i="5"/>
  <c r="X42" i="5" s="1"/>
  <c r="W40" i="5"/>
  <c r="W42" i="5" s="1"/>
  <c r="V40" i="5"/>
  <c r="V41" i="5" s="1"/>
  <c r="U40" i="5"/>
  <c r="U41" i="5" s="1"/>
  <c r="T40" i="5"/>
  <c r="T41" i="5" s="1"/>
  <c r="S40" i="5"/>
  <c r="S42" i="5" s="1"/>
  <c r="R40" i="5"/>
  <c r="R42" i="5" s="1"/>
  <c r="M40" i="5"/>
  <c r="M41" i="5" s="1"/>
  <c r="L40" i="5"/>
  <c r="L26" i="5" s="1"/>
  <c r="K40" i="5"/>
  <c r="K42" i="5" s="1"/>
  <c r="J40" i="5"/>
  <c r="J42" i="5" s="1"/>
  <c r="I40" i="5"/>
  <c r="I41" i="5" s="1"/>
  <c r="H40" i="5"/>
  <c r="H26" i="5" s="1"/>
  <c r="E40" i="5"/>
  <c r="E41" i="5" s="1"/>
  <c r="D40" i="5"/>
  <c r="D41" i="5" s="1"/>
  <c r="C40" i="5"/>
  <c r="C41" i="5" s="1"/>
  <c r="B40" i="5"/>
  <c r="D42" i="5" s="1"/>
  <c r="O37" i="5"/>
  <c r="N37" i="5"/>
  <c r="AT36" i="5"/>
  <c r="AU36" i="5" s="1"/>
  <c r="AS36" i="5"/>
  <c r="AR36" i="5"/>
  <c r="AM35" i="5"/>
  <c r="AL35" i="5"/>
  <c r="Y34" i="5"/>
  <c r="X34" i="5"/>
  <c r="M33" i="5"/>
  <c r="L33" i="5"/>
  <c r="K33" i="5"/>
  <c r="J33" i="5"/>
  <c r="AM32" i="5"/>
  <c r="AL32" i="5"/>
  <c r="AK32" i="5"/>
  <c r="AJ32" i="5"/>
  <c r="AI32" i="5"/>
  <c r="AH32" i="5"/>
  <c r="AG32" i="5"/>
  <c r="AF32" i="5"/>
  <c r="AM31" i="5"/>
  <c r="AL31" i="5"/>
  <c r="AK31" i="5"/>
  <c r="AJ31" i="5"/>
  <c r="AI31" i="5"/>
  <c r="AH31" i="5"/>
  <c r="AG31" i="5"/>
  <c r="AF31" i="5"/>
  <c r="BG30" i="5"/>
  <c r="BF30" i="5"/>
  <c r="BE30" i="5"/>
  <c r="BD30" i="5"/>
  <c r="BA30" i="5"/>
  <c r="AZ30" i="5"/>
  <c r="AW30" i="5"/>
  <c r="AV30" i="5"/>
  <c r="AU30" i="5"/>
  <c r="AT30" i="5"/>
  <c r="AO30" i="5"/>
  <c r="AN30" i="5"/>
  <c r="AM30" i="5"/>
  <c r="AL30" i="5"/>
  <c r="AK30" i="5"/>
  <c r="AJ30" i="5"/>
  <c r="AI30" i="5"/>
  <c r="AH30" i="5"/>
  <c r="AG30" i="5"/>
  <c r="AF30" i="5"/>
  <c r="AE30" i="5"/>
  <c r="AD30" i="5"/>
  <c r="AC30" i="5"/>
  <c r="AB30" i="5"/>
  <c r="AA30" i="5"/>
  <c r="Z30" i="5"/>
  <c r="Y30" i="5"/>
  <c r="X30" i="5"/>
  <c r="W30" i="5"/>
  <c r="V30" i="5"/>
  <c r="U30" i="5"/>
  <c r="T30" i="5"/>
  <c r="S30" i="5"/>
  <c r="R30" i="5"/>
  <c r="M30" i="5"/>
  <c r="L30" i="5"/>
  <c r="K30" i="5"/>
  <c r="J30" i="5"/>
  <c r="I30" i="5"/>
  <c r="H30" i="5"/>
  <c r="E30" i="5"/>
  <c r="D30" i="5"/>
  <c r="B30" i="5"/>
  <c r="C30" i="5" s="1"/>
  <c r="BG29" i="5"/>
  <c r="BF29" i="5"/>
  <c r="BE29" i="5"/>
  <c r="BD29" i="5"/>
  <c r="BA29" i="5"/>
  <c r="AZ29" i="5"/>
  <c r="AW29" i="5"/>
  <c r="AV29" i="5"/>
  <c r="AU29" i="5"/>
  <c r="AT29" i="5"/>
  <c r="AM29" i="5"/>
  <c r="AL29" i="5"/>
  <c r="AK29" i="5"/>
  <c r="AJ29" i="5"/>
  <c r="AI29" i="5"/>
  <c r="AH29" i="5"/>
  <c r="AG29" i="5"/>
  <c r="AF29" i="5"/>
  <c r="AE29" i="5"/>
  <c r="AD29" i="5"/>
  <c r="AC29" i="5"/>
  <c r="AB29" i="5"/>
  <c r="AA29" i="5"/>
  <c r="Z29" i="5"/>
  <c r="Y29" i="5"/>
  <c r="X29" i="5"/>
  <c r="X26" i="5" s="1"/>
  <c r="W29" i="5"/>
  <c r="V29" i="5"/>
  <c r="U29" i="5"/>
  <c r="T29" i="5"/>
  <c r="S29" i="5"/>
  <c r="R29" i="5"/>
  <c r="M29" i="5"/>
  <c r="L29" i="5"/>
  <c r="K29" i="5"/>
  <c r="J29" i="5"/>
  <c r="I29" i="5"/>
  <c r="H29" i="5"/>
  <c r="E29" i="5"/>
  <c r="D29" i="5"/>
  <c r="BH26" i="5"/>
  <c r="AX26" i="5"/>
  <c r="AR26" i="5"/>
  <c r="N26" i="5"/>
  <c r="BH22" i="5"/>
  <c r="BI22" i="5" s="1"/>
  <c r="BB22" i="5"/>
  <c r="BC22" i="5" s="1"/>
  <c r="AX22" i="5"/>
  <c r="AY22" i="5" s="1"/>
  <c r="AR22" i="5"/>
  <c r="AS22" i="5" s="1"/>
  <c r="AS28" i="5" s="1"/>
  <c r="AS26" i="5" s="1"/>
  <c r="AS24" i="5" s="1"/>
  <c r="AP22" i="5"/>
  <c r="AQ22" i="5" s="1"/>
  <c r="P22" i="5"/>
  <c r="P46" i="5" s="1"/>
  <c r="N22" i="5"/>
  <c r="O22" i="5"/>
  <c r="O28" i="5" s="1"/>
  <c r="O26" i="5" s="1"/>
  <c r="B5" i="5"/>
  <c r="B22" i="5" s="1"/>
  <c r="C22" i="5" s="1"/>
  <c r="BH22" i="2"/>
  <c r="BI22" i="2" s="1"/>
  <c r="BI44" i="2"/>
  <c r="BI47" i="2" s="1"/>
  <c r="BH44" i="2"/>
  <c r="BH47" i="2" s="1"/>
  <c r="BH26" i="2"/>
  <c r="BG44" i="2"/>
  <c r="BG56" i="2" s="1"/>
  <c r="BF44" i="2"/>
  <c r="BF55" i="2" s="1"/>
  <c r="BG40" i="2"/>
  <c r="BG41" i="2" s="1"/>
  <c r="BF40" i="2"/>
  <c r="BF41" i="2" s="1"/>
  <c r="BG30" i="2"/>
  <c r="BG29" i="2"/>
  <c r="BF30" i="2"/>
  <c r="BF29" i="2"/>
  <c r="BE53" i="2"/>
  <c r="BE47" i="2"/>
  <c r="BE44" i="2"/>
  <c r="BE40" i="2"/>
  <c r="BE42" i="2" s="1"/>
  <c r="BE30" i="2"/>
  <c r="BE29" i="2"/>
  <c r="BD53" i="2"/>
  <c r="BD47" i="2"/>
  <c r="BD44" i="2"/>
  <c r="BD40" i="2"/>
  <c r="BD41" i="2" s="1"/>
  <c r="BD30" i="2"/>
  <c r="BD29" i="2"/>
  <c r="U46" i="2"/>
  <c r="U47" i="2"/>
  <c r="U50" i="2"/>
  <c r="T46" i="2"/>
  <c r="T47" i="2"/>
  <c r="T50" i="2"/>
  <c r="S51" i="1"/>
  <c r="R51" i="1"/>
  <c r="BC42" i="2"/>
  <c r="BB42" i="2"/>
  <c r="BC41" i="2"/>
  <c r="BB41" i="2"/>
  <c r="BC47" i="2"/>
  <c r="BB47" i="2"/>
  <c r="BB44" i="2"/>
  <c r="BC44" i="2"/>
  <c r="BB22" i="2"/>
  <c r="BC22" i="2" s="1"/>
  <c r="BA44" i="2"/>
  <c r="BA57" i="2" s="1"/>
  <c r="BA40" i="2"/>
  <c r="BA42" i="2" s="1"/>
  <c r="BA30" i="2"/>
  <c r="BA29" i="2"/>
  <c r="AZ44" i="2"/>
  <c r="AZ57" i="2" s="1"/>
  <c r="AZ40" i="2"/>
  <c r="AZ41" i="2" s="1"/>
  <c r="AZ30" i="2"/>
  <c r="AZ29" i="2"/>
  <c r="BC45" i="1"/>
  <c r="BC58" i="1"/>
  <c r="BC41" i="1"/>
  <c r="BC33" i="1"/>
  <c r="BC32" i="1"/>
  <c r="BC31" i="1"/>
  <c r="BB45" i="1"/>
  <c r="BB58" i="1"/>
  <c r="BB41" i="1"/>
  <c r="BB43" i="1"/>
  <c r="BB33" i="1"/>
  <c r="BB32" i="1"/>
  <c r="BB31" i="1"/>
  <c r="BB27" i="1"/>
  <c r="AN56" i="1"/>
  <c r="AO56" i="1"/>
  <c r="AT56" i="1"/>
  <c r="AU56" i="1" s="1"/>
  <c r="AV56" i="1"/>
  <c r="AW56" i="1" s="1"/>
  <c r="BA45" i="1"/>
  <c r="BA57" i="1"/>
  <c r="BA41" i="1"/>
  <c r="BA42" i="1"/>
  <c r="BA33" i="1"/>
  <c r="BA32" i="1"/>
  <c r="BA31" i="1"/>
  <c r="AZ45" i="1"/>
  <c r="AZ57" i="1" s="1"/>
  <c r="AZ41" i="1"/>
  <c r="AZ42" i="1"/>
  <c r="AZ33" i="1"/>
  <c r="AZ32" i="1"/>
  <c r="AZ31" i="1"/>
  <c r="AX55" i="1"/>
  <c r="AY55" i="1" s="1"/>
  <c r="AV55" i="1"/>
  <c r="AV47" i="1" s="1"/>
  <c r="AW47" i="1" s="1"/>
  <c r="AT55" i="1"/>
  <c r="AU55" i="1"/>
  <c r="AR55" i="1"/>
  <c r="AS55" i="1" s="1"/>
  <c r="AP55" i="1"/>
  <c r="AQ55" i="1"/>
  <c r="AN55" i="1"/>
  <c r="AL55" i="1"/>
  <c r="AL47" i="1" s="1"/>
  <c r="AM47" i="1" s="1"/>
  <c r="AJ55" i="1"/>
  <c r="AK55" i="1" s="1"/>
  <c r="B31" i="1"/>
  <c r="C31" i="1"/>
  <c r="AN54" i="2"/>
  <c r="AO54" i="2" s="1"/>
  <c r="AL54" i="2"/>
  <c r="AM54" i="2" s="1"/>
  <c r="AJ54" i="2"/>
  <c r="AK54" i="2" s="1"/>
  <c r="AH54" i="2"/>
  <c r="AI54" i="2" s="1"/>
  <c r="AM44" i="2"/>
  <c r="AM40" i="2"/>
  <c r="AM42" i="2" s="1"/>
  <c r="AM35" i="2"/>
  <c r="AM32" i="2"/>
  <c r="AM31" i="2"/>
  <c r="AM30" i="2"/>
  <c r="AM29" i="2"/>
  <c r="AL44" i="2"/>
  <c r="AL40" i="2"/>
  <c r="AL41" i="2" s="1"/>
  <c r="AL35" i="2"/>
  <c r="AL32" i="2"/>
  <c r="AL31" i="2"/>
  <c r="AL30" i="2"/>
  <c r="AL29" i="2"/>
  <c r="K44" i="2"/>
  <c r="K47" i="2" s="1"/>
  <c r="K40" i="2"/>
  <c r="K42" i="2" s="1"/>
  <c r="K33" i="2"/>
  <c r="K30" i="2"/>
  <c r="K29" i="2"/>
  <c r="J44" i="2"/>
  <c r="J47" i="2" s="1"/>
  <c r="J40" i="2"/>
  <c r="J41" i="2" s="1"/>
  <c r="J33" i="2"/>
  <c r="J30" i="2"/>
  <c r="J29" i="2"/>
  <c r="I45" i="1"/>
  <c r="I48" i="1" s="1"/>
  <c r="I34" i="1"/>
  <c r="I31" i="1"/>
  <c r="I30" i="1"/>
  <c r="H45" i="1"/>
  <c r="H47" i="1" s="1"/>
  <c r="H41" i="1"/>
  <c r="H43" i="1"/>
  <c r="H34" i="1"/>
  <c r="H31" i="1"/>
  <c r="H30" i="1"/>
  <c r="H27" i="1"/>
  <c r="AF23" i="1"/>
  <c r="AG23" i="1"/>
  <c r="AU41" i="1"/>
  <c r="AU43" i="1"/>
  <c r="AU37" i="1"/>
  <c r="AU33" i="1"/>
  <c r="AU32" i="1"/>
  <c r="AU31" i="1"/>
  <c r="AU30" i="1"/>
  <c r="AT45" i="1"/>
  <c r="AT47" i="1"/>
  <c r="AU47" i="1" s="1"/>
  <c r="AT41" i="1"/>
  <c r="AT43" i="1" s="1"/>
  <c r="AT37" i="1"/>
  <c r="AT33" i="1"/>
  <c r="AT32" i="1"/>
  <c r="AT31" i="1"/>
  <c r="AT30" i="1"/>
  <c r="AS41" i="1"/>
  <c r="AS43" i="1" s="1"/>
  <c r="AS33" i="1"/>
  <c r="AS32" i="1"/>
  <c r="AS31" i="1"/>
  <c r="AS30" i="1"/>
  <c r="AR45" i="1"/>
  <c r="AR47" i="1"/>
  <c r="AS47" i="1"/>
  <c r="AR48" i="1"/>
  <c r="AS48" i="1"/>
  <c r="AR41" i="1"/>
  <c r="AR43" i="1" s="1"/>
  <c r="AR33" i="1"/>
  <c r="AR32" i="1"/>
  <c r="AR31" i="1"/>
  <c r="AR30" i="1"/>
  <c r="AP30" i="1"/>
  <c r="AQ30" i="1"/>
  <c r="AP31" i="1"/>
  <c r="AQ31" i="1"/>
  <c r="AP32" i="1"/>
  <c r="AQ32" i="1"/>
  <c r="AP33" i="1"/>
  <c r="AP27" i="1"/>
  <c r="AQ33" i="1"/>
  <c r="AP37" i="1"/>
  <c r="AQ37" i="1"/>
  <c r="AP41" i="1"/>
  <c r="AP43" i="1"/>
  <c r="AQ41" i="1"/>
  <c r="AP45" i="1"/>
  <c r="AP47" i="1"/>
  <c r="AQ47" i="1" s="1"/>
  <c r="AX37" i="1"/>
  <c r="AY37" i="1"/>
  <c r="AW41" i="1"/>
  <c r="AW42" i="1"/>
  <c r="AW33" i="1"/>
  <c r="AW32" i="1"/>
  <c r="AW31" i="1"/>
  <c r="AW30" i="1"/>
  <c r="AV45" i="1"/>
  <c r="AW45" i="1"/>
  <c r="AV41" i="1"/>
  <c r="AV42" i="1" s="1"/>
  <c r="AV43" i="1"/>
  <c r="AV33" i="1"/>
  <c r="AV32" i="1"/>
  <c r="AV31" i="1"/>
  <c r="AV27" i="1"/>
  <c r="AV30" i="1"/>
  <c r="AM41" i="1"/>
  <c r="AM42" i="1"/>
  <c r="AM33" i="1"/>
  <c r="AM32" i="1"/>
  <c r="AM31" i="1"/>
  <c r="AM30" i="1"/>
  <c r="AL45" i="1"/>
  <c r="AM45" i="1" s="1"/>
  <c r="AL41" i="1"/>
  <c r="AL43" i="1" s="1"/>
  <c r="AL42" i="1"/>
  <c r="AL33" i="1"/>
  <c r="AL32" i="1"/>
  <c r="AL31" i="1"/>
  <c r="AL30" i="1"/>
  <c r="AN45" i="1"/>
  <c r="AO45" i="1"/>
  <c r="AN44" i="2"/>
  <c r="AJ44" i="2"/>
  <c r="L38" i="1"/>
  <c r="M38" i="1"/>
  <c r="L23" i="1"/>
  <c r="M23" i="1"/>
  <c r="O37" i="2"/>
  <c r="N37" i="2"/>
  <c r="N26" i="2" s="1"/>
  <c r="N22" i="2"/>
  <c r="O22" i="2" s="1"/>
  <c r="AJ40" i="2"/>
  <c r="AL42" i="2" s="1"/>
  <c r="AX22" i="2"/>
  <c r="AY22" i="2" s="1"/>
  <c r="AY24" i="2" s="1"/>
  <c r="AX26" i="2"/>
  <c r="B5" i="2"/>
  <c r="AW29" i="2"/>
  <c r="AW30" i="2"/>
  <c r="AW40" i="2"/>
  <c r="AW41" i="2" s="1"/>
  <c r="AV40" i="2"/>
  <c r="AV41" i="2" s="1"/>
  <c r="AU29" i="2"/>
  <c r="AU30" i="2"/>
  <c r="AU40" i="2"/>
  <c r="AU42" i="2" s="1"/>
  <c r="AT40" i="2"/>
  <c r="AT41" i="2" s="1"/>
  <c r="AS36" i="2"/>
  <c r="AO30" i="2"/>
  <c r="AO40" i="2"/>
  <c r="AO42" i="2" s="1"/>
  <c r="AN40" i="2"/>
  <c r="AN42" i="2" s="1"/>
  <c r="AK29" i="2"/>
  <c r="AK30" i="2"/>
  <c r="AK31" i="2"/>
  <c r="AK32" i="2"/>
  <c r="AK40" i="2"/>
  <c r="AK42" i="2" s="1"/>
  <c r="AH40" i="2"/>
  <c r="AH41" i="2" s="1"/>
  <c r="AI29" i="2"/>
  <c r="AI30" i="2"/>
  <c r="AI31" i="2"/>
  <c r="AI32" i="2"/>
  <c r="AI40" i="2"/>
  <c r="AI42" i="2" s="1"/>
  <c r="AG29" i="2"/>
  <c r="AG30" i="2"/>
  <c r="AG31" i="2"/>
  <c r="AG32" i="2"/>
  <c r="AG40" i="2"/>
  <c r="AG41" i="2" s="1"/>
  <c r="AF40" i="2"/>
  <c r="AF42" i="2" s="1"/>
  <c r="AE29" i="2"/>
  <c r="AE30" i="2"/>
  <c r="AE40" i="2"/>
  <c r="AE41" i="2" s="1"/>
  <c r="AD40" i="2"/>
  <c r="AD41" i="2" s="1"/>
  <c r="AC29" i="2"/>
  <c r="AC30" i="2"/>
  <c r="AC40" i="2"/>
  <c r="AC41" i="2" s="1"/>
  <c r="AB40" i="2"/>
  <c r="AB41" i="2" s="1"/>
  <c r="AA29" i="2"/>
  <c r="AA30" i="2"/>
  <c r="AA40" i="2"/>
  <c r="AA41" i="2" s="1"/>
  <c r="Z40" i="2"/>
  <c r="Z41" i="2" s="1"/>
  <c r="Y29" i="2"/>
  <c r="Y30" i="2"/>
  <c r="Y40" i="2"/>
  <c r="Y42" i="2" s="1"/>
  <c r="X40" i="2"/>
  <c r="X41" i="2" s="1"/>
  <c r="W29" i="2"/>
  <c r="W30" i="2"/>
  <c r="W40" i="2"/>
  <c r="W42" i="2" s="1"/>
  <c r="V40" i="2"/>
  <c r="V42" i="2" s="1"/>
  <c r="U29" i="2"/>
  <c r="U30" i="2"/>
  <c r="U40" i="2"/>
  <c r="U42" i="2" s="1"/>
  <c r="T40" i="2"/>
  <c r="T41" i="2" s="1"/>
  <c r="S29" i="2"/>
  <c r="S30" i="2"/>
  <c r="S40" i="2"/>
  <c r="S41" i="2" s="1"/>
  <c r="R40" i="2"/>
  <c r="R41" i="2" s="1"/>
  <c r="M29" i="2"/>
  <c r="M30" i="2"/>
  <c r="M33" i="2"/>
  <c r="M40" i="2"/>
  <c r="M41" i="2" s="1"/>
  <c r="L40" i="2"/>
  <c r="L41" i="2" s="1"/>
  <c r="I29" i="2"/>
  <c r="I30" i="2"/>
  <c r="I40" i="2"/>
  <c r="I42" i="2" s="1"/>
  <c r="H40" i="2"/>
  <c r="E29" i="2"/>
  <c r="E30" i="2"/>
  <c r="E40" i="2"/>
  <c r="E42" i="2" s="1"/>
  <c r="D40" i="2"/>
  <c r="F42" i="2" s="1"/>
  <c r="B5" i="1"/>
  <c r="X23" i="1" s="1"/>
  <c r="Y23" i="1" s="1"/>
  <c r="C41" i="1"/>
  <c r="C42" i="1" s="1"/>
  <c r="C43" i="1"/>
  <c r="D41" i="1"/>
  <c r="D43" i="1" s="1"/>
  <c r="D30" i="1"/>
  <c r="D27" i="1"/>
  <c r="D31" i="1"/>
  <c r="AP22" i="2"/>
  <c r="AQ22" i="2" s="1"/>
  <c r="AD23" i="1"/>
  <c r="AE23" i="1" s="1"/>
  <c r="O23" i="1"/>
  <c r="O25" i="1" s="1"/>
  <c r="AR22" i="2"/>
  <c r="AS22" i="2" s="1"/>
  <c r="AS28" i="2" s="1"/>
  <c r="AP44" i="2"/>
  <c r="C40" i="2"/>
  <c r="C41" i="2" s="1"/>
  <c r="C47" i="2"/>
  <c r="P22" i="2"/>
  <c r="P46" i="2" s="1"/>
  <c r="AK44" i="2"/>
  <c r="AI44" i="2"/>
  <c r="AJ29" i="2"/>
  <c r="AH44" i="2"/>
  <c r="B44" i="2"/>
  <c r="D47" i="2" s="1"/>
  <c r="B40" i="2"/>
  <c r="B41" i="2" s="1"/>
  <c r="AJ32" i="2"/>
  <c r="AJ31" i="2"/>
  <c r="AJ30" i="2"/>
  <c r="AH29" i="2"/>
  <c r="AH30" i="2"/>
  <c r="AH31" i="2"/>
  <c r="AH32" i="2"/>
  <c r="AY31" i="1"/>
  <c r="AY33" i="1"/>
  <c r="AY41" i="1"/>
  <c r="AY43" i="1" s="1"/>
  <c r="AY45" i="1"/>
  <c r="AX45" i="1"/>
  <c r="AX48" i="1" s="1"/>
  <c r="AY48" i="1" s="1"/>
  <c r="AX41" i="1"/>
  <c r="AX43" i="1" s="1"/>
  <c r="AX33" i="1"/>
  <c r="AX31" i="1"/>
  <c r="AX27" i="1"/>
  <c r="AY44" i="2"/>
  <c r="AY47" i="2" s="1"/>
  <c r="AX44" i="2"/>
  <c r="AX47" i="2" s="1"/>
  <c r="AY42" i="2"/>
  <c r="AX42" i="2"/>
  <c r="AY41" i="2"/>
  <c r="AX41" i="2"/>
  <c r="I44" i="2"/>
  <c r="I47" i="2" s="1"/>
  <c r="AW44" i="2"/>
  <c r="AW47" i="2" s="1"/>
  <c r="AV44" i="2"/>
  <c r="AV47" i="2" s="1"/>
  <c r="AV30" i="2"/>
  <c r="AV29" i="2"/>
  <c r="E44" i="2"/>
  <c r="E47" i="2" s="1"/>
  <c r="M44" i="2"/>
  <c r="M47" i="2" s="1"/>
  <c r="Q46" i="2"/>
  <c r="Q47" i="2"/>
  <c r="Q48" i="2"/>
  <c r="S44" i="2"/>
  <c r="AT36" i="2"/>
  <c r="AU36" i="2" s="1"/>
  <c r="AU47" i="2"/>
  <c r="AQ44" i="2"/>
  <c r="AO44" i="2"/>
  <c r="AQ47" i="2"/>
  <c r="AE44" i="2"/>
  <c r="AC44" i="2"/>
  <c r="AA44" i="2"/>
  <c r="AA51" i="2" s="1"/>
  <c r="X34" i="2"/>
  <c r="Y34" i="2" s="1"/>
  <c r="Y44" i="2"/>
  <c r="Y51" i="2" s="1"/>
  <c r="W44" i="2"/>
  <c r="U44" i="2"/>
  <c r="AN30" i="2"/>
  <c r="AC54" i="1"/>
  <c r="AB54" i="1"/>
  <c r="AA53" i="1"/>
  <c r="Z53" i="1"/>
  <c r="U52" i="1"/>
  <c r="T52" i="1"/>
  <c r="Q50" i="1"/>
  <c r="P50" i="1"/>
  <c r="O49" i="1"/>
  <c r="AE48" i="1"/>
  <c r="AD48" i="1"/>
  <c r="O48" i="1"/>
  <c r="O45" i="1" s="1"/>
  <c r="O47" i="1"/>
  <c r="AK45" i="1"/>
  <c r="AJ45" i="1"/>
  <c r="AJ47" i="1" s="1"/>
  <c r="AK47" i="1" s="1"/>
  <c r="AI45" i="1"/>
  <c r="AI47" i="1" s="1"/>
  <c r="AH45" i="1"/>
  <c r="AH47" i="1" s="1"/>
  <c r="AC45" i="1"/>
  <c r="AC47" i="1" s="1"/>
  <c r="AB45" i="1"/>
  <c r="AB47" i="1" s="1"/>
  <c r="AA45" i="1"/>
  <c r="Z45" i="1"/>
  <c r="Y45" i="1"/>
  <c r="Y48" i="1" s="1"/>
  <c r="X45" i="1"/>
  <c r="X48" i="1" s="1"/>
  <c r="W45" i="1"/>
  <c r="W52" i="1" s="1"/>
  <c r="V45" i="1"/>
  <c r="V48" i="1" s="1"/>
  <c r="U45" i="1"/>
  <c r="T45" i="1"/>
  <c r="S45" i="1"/>
  <c r="S48" i="1" s="1"/>
  <c r="R45" i="1"/>
  <c r="R47" i="1" s="1"/>
  <c r="Q45" i="1"/>
  <c r="P45" i="1"/>
  <c r="K45" i="1"/>
  <c r="K48" i="1" s="1"/>
  <c r="K47" i="1"/>
  <c r="J45" i="1"/>
  <c r="J47" i="1"/>
  <c r="G45" i="1"/>
  <c r="G48" i="1"/>
  <c r="F45" i="1"/>
  <c r="F48" i="1"/>
  <c r="E45" i="1"/>
  <c r="E47" i="1"/>
  <c r="D45" i="1"/>
  <c r="D48" i="1"/>
  <c r="C45" i="1"/>
  <c r="C48" i="1"/>
  <c r="B45" i="1"/>
  <c r="B47" i="1"/>
  <c r="AO41" i="1"/>
  <c r="AO42" i="1"/>
  <c r="AN41" i="1"/>
  <c r="AN43" i="1"/>
  <c r="AK41" i="1"/>
  <c r="AJ41" i="1"/>
  <c r="AJ42" i="1" s="1"/>
  <c r="AI41" i="1"/>
  <c r="AI42" i="1" s="1"/>
  <c r="AI43" i="1"/>
  <c r="AH41" i="1"/>
  <c r="AC41" i="1"/>
  <c r="AC42" i="1"/>
  <c r="AB41" i="1"/>
  <c r="AB43" i="1"/>
  <c r="AA41" i="1"/>
  <c r="AA43" i="1"/>
  <c r="Z41" i="1"/>
  <c r="Z43" i="1"/>
  <c r="Y41" i="1"/>
  <c r="Y42" i="1" s="1"/>
  <c r="Y43" i="1"/>
  <c r="X41" i="1"/>
  <c r="X43" i="1"/>
  <c r="W41" i="1"/>
  <c r="W43" i="1" s="1"/>
  <c r="V41" i="1"/>
  <c r="V43" i="1" s="1"/>
  <c r="V42" i="1"/>
  <c r="U41" i="1"/>
  <c r="U42" i="1"/>
  <c r="T41" i="1"/>
  <c r="T43" i="1"/>
  <c r="S41" i="1"/>
  <c r="S42" i="1"/>
  <c r="R41" i="1"/>
  <c r="R42" i="1"/>
  <c r="Q41" i="1"/>
  <c r="P41" i="1"/>
  <c r="P43" i="1"/>
  <c r="K41" i="1"/>
  <c r="K42" i="1" s="1"/>
  <c r="J41" i="1"/>
  <c r="J42" i="1" s="1"/>
  <c r="J43" i="1"/>
  <c r="G41" i="1"/>
  <c r="G42" i="1" s="1"/>
  <c r="G43" i="1"/>
  <c r="F41" i="1"/>
  <c r="F42" i="1" s="1"/>
  <c r="E41" i="1"/>
  <c r="E43" i="1" s="1"/>
  <c r="E42" i="1"/>
  <c r="B41" i="1"/>
  <c r="B27" i="1"/>
  <c r="B43" i="1"/>
  <c r="B42" i="1"/>
  <c r="O29" i="1"/>
  <c r="N23" i="1"/>
  <c r="N48" i="1" s="1"/>
  <c r="AI39" i="1"/>
  <c r="AG39" i="1"/>
  <c r="W35" i="1"/>
  <c r="K34" i="1"/>
  <c r="AO33" i="1"/>
  <c r="AK33" i="1"/>
  <c r="AO32" i="1"/>
  <c r="AK32" i="1"/>
  <c r="AO31" i="1"/>
  <c r="AK31" i="1"/>
  <c r="AI31" i="1"/>
  <c r="AC31" i="1"/>
  <c r="AA31" i="1"/>
  <c r="Y31" i="1"/>
  <c r="W31" i="1"/>
  <c r="U31" i="1"/>
  <c r="S31" i="1"/>
  <c r="Q31" i="1"/>
  <c r="K31" i="1"/>
  <c r="G31" i="1"/>
  <c r="E31" i="1"/>
  <c r="AO30" i="1"/>
  <c r="AK30" i="1"/>
  <c r="AI30" i="1"/>
  <c r="AC30" i="1"/>
  <c r="AA30" i="1"/>
  <c r="Y30" i="1"/>
  <c r="W30" i="1"/>
  <c r="U30" i="1"/>
  <c r="S30" i="1"/>
  <c r="Q30" i="1"/>
  <c r="K30" i="1"/>
  <c r="G30" i="1"/>
  <c r="E30" i="1"/>
  <c r="AN33" i="1"/>
  <c r="AN32" i="1"/>
  <c r="AN31" i="1"/>
  <c r="AN27" i="1"/>
  <c r="AN30" i="1"/>
  <c r="AJ33" i="1"/>
  <c r="AJ32" i="1"/>
  <c r="AJ31" i="1"/>
  <c r="AJ30" i="1"/>
  <c r="V30" i="1"/>
  <c r="V27" i="1"/>
  <c r="V31" i="1"/>
  <c r="V35" i="1"/>
  <c r="AH39" i="1"/>
  <c r="AF39" i="1"/>
  <c r="AF27" i="1"/>
  <c r="J34" i="1"/>
  <c r="AH31" i="1"/>
  <c r="AB31" i="1"/>
  <c r="Z31" i="1"/>
  <c r="X31" i="1"/>
  <c r="X27" i="1"/>
  <c r="T31" i="1"/>
  <c r="R31" i="1"/>
  <c r="P31" i="1"/>
  <c r="J31" i="1"/>
  <c r="F31" i="1"/>
  <c r="AH30" i="1"/>
  <c r="AH27" i="1"/>
  <c r="AB30" i="1"/>
  <c r="AB27" i="1"/>
  <c r="Z30" i="1"/>
  <c r="Z27" i="1"/>
  <c r="X30" i="1"/>
  <c r="T30" i="1"/>
  <c r="R30" i="1"/>
  <c r="R27" i="1"/>
  <c r="P30" i="1"/>
  <c r="J30" i="1"/>
  <c r="F30" i="1"/>
  <c r="AU44" i="2"/>
  <c r="AG47" i="2"/>
  <c r="AG44" i="2"/>
  <c r="AE53" i="2"/>
  <c r="AE47" i="2"/>
  <c r="AC52" i="2"/>
  <c r="W51" i="2"/>
  <c r="S49" i="2"/>
  <c r="C44" i="2"/>
  <c r="AT47" i="2"/>
  <c r="AT44" i="2"/>
  <c r="AP47" i="2"/>
  <c r="AF47" i="2"/>
  <c r="AF44" i="2"/>
  <c r="AD53" i="2"/>
  <c r="AD47" i="2"/>
  <c r="AD44" i="2"/>
  <c r="AB52" i="2"/>
  <c r="AB44" i="2"/>
  <c r="Z44" i="2"/>
  <c r="Z47" i="2" s="1"/>
  <c r="X44" i="2"/>
  <c r="X51" i="2" s="1"/>
  <c r="V51" i="2"/>
  <c r="V44" i="2"/>
  <c r="T44" i="2"/>
  <c r="R49" i="2"/>
  <c r="R44" i="2"/>
  <c r="L44" i="2"/>
  <c r="L47" i="2" s="1"/>
  <c r="H44" i="2"/>
  <c r="H47" i="2" s="1"/>
  <c r="D44" i="2"/>
  <c r="B47" i="2"/>
  <c r="L33" i="2"/>
  <c r="AT30" i="2"/>
  <c r="AT29" i="2"/>
  <c r="L30" i="2"/>
  <c r="L29" i="2"/>
  <c r="Z30" i="2"/>
  <c r="Z29" i="2"/>
  <c r="X30" i="2"/>
  <c r="X29" i="2"/>
  <c r="AR36" i="2"/>
  <c r="AR26" i="2" s="1"/>
  <c r="R29" i="2"/>
  <c r="R30" i="2"/>
  <c r="AF32" i="2"/>
  <c r="AF31" i="2"/>
  <c r="AF30" i="2"/>
  <c r="AD30" i="2"/>
  <c r="AF29" i="2"/>
  <c r="AB29" i="2"/>
  <c r="D29" i="2"/>
  <c r="AD29" i="2"/>
  <c r="AB30" i="2"/>
  <c r="T29" i="2"/>
  <c r="T30" i="2"/>
  <c r="V29" i="2"/>
  <c r="H29" i="2"/>
  <c r="H30" i="2"/>
  <c r="V30" i="2"/>
  <c r="D30" i="2"/>
  <c r="AB42" i="1"/>
  <c r="AN23" i="1"/>
  <c r="AO23" i="1" s="1"/>
  <c r="AB23" i="1"/>
  <c r="AC23" i="1"/>
  <c r="G23" i="1"/>
  <c r="G29" i="1"/>
  <c r="G27" i="1"/>
  <c r="AV23" i="1"/>
  <c r="AW23" i="1" s="1"/>
  <c r="AU45" i="1"/>
  <c r="L27" i="1"/>
  <c r="AX47" i="1"/>
  <c r="AY47" i="1" s="1"/>
  <c r="I41" i="1"/>
  <c r="I43" i="1" s="1"/>
  <c r="I42" i="1"/>
  <c r="AP23" i="1"/>
  <c r="AQ23" i="1" s="1"/>
  <c r="AL23" i="1"/>
  <c r="AM23" i="1" s="1"/>
  <c r="Z23" i="1"/>
  <c r="AA23" i="1" s="1"/>
  <c r="R23" i="1"/>
  <c r="S23" i="1" s="1"/>
  <c r="AJ27" i="1"/>
  <c r="AX23" i="1"/>
  <c r="AY23" i="1"/>
  <c r="AY25" i="1" s="1"/>
  <c r="T23" i="1"/>
  <c r="U23" i="1" s="1"/>
  <c r="F27" i="1"/>
  <c r="X42" i="1"/>
  <c r="BB23" i="1"/>
  <c r="BC23" i="1" s="1"/>
  <c r="H42" i="1"/>
  <c r="J23" i="1"/>
  <c r="K23" i="1"/>
  <c r="W48" i="1"/>
  <c r="G47" i="1"/>
  <c r="AW43" i="1"/>
  <c r="E48" i="1"/>
  <c r="C47" i="1"/>
  <c r="AU42" i="1"/>
  <c r="AO43" i="1"/>
  <c r="W47" i="1"/>
  <c r="S47" i="1"/>
  <c r="D42" i="1"/>
  <c r="H23" i="1"/>
  <c r="I23" i="1"/>
  <c r="AZ23" i="1"/>
  <c r="BA23" i="1" s="1"/>
  <c r="I47" i="1"/>
  <c r="AT23" i="1"/>
  <c r="AU23" i="1"/>
  <c r="AU25" i="1" s="1"/>
  <c r="N47" i="1"/>
  <c r="N45" i="1" s="1"/>
  <c r="N49" i="1"/>
  <c r="AC43" i="1"/>
  <c r="BB42" i="1"/>
  <c r="AR42" i="1"/>
  <c r="Z42" i="1"/>
  <c r="AP42" i="1"/>
  <c r="P23" i="1"/>
  <c r="Q23" i="1" s="1"/>
  <c r="V23" i="1"/>
  <c r="W23" i="1"/>
  <c r="AH48" i="1"/>
  <c r="AR27" i="1"/>
  <c r="AR23" i="1"/>
  <c r="AS23" i="1"/>
  <c r="AS25" i="1" s="1"/>
  <c r="AJ23" i="1"/>
  <c r="AK23" i="1" s="1"/>
  <c r="D23" i="1"/>
  <c r="E23" i="1"/>
  <c r="S43" i="1"/>
  <c r="P42" i="1"/>
  <c r="AX42" i="1"/>
  <c r="AN48" i="1"/>
  <c r="AO48" i="1" s="1"/>
  <c r="AQ45" i="1"/>
  <c r="AS45" i="1"/>
  <c r="AP48" i="1"/>
  <c r="AQ48" i="1" s="1"/>
  <c r="Y47" i="1"/>
  <c r="J48" i="1"/>
  <c r="AA42" i="1"/>
  <c r="AG42" i="2"/>
  <c r="Q42" i="1"/>
  <c r="Q43" i="1"/>
  <c r="AK42" i="1"/>
  <c r="AK43" i="1"/>
  <c r="H42" i="2"/>
  <c r="H41" i="2"/>
  <c r="AO55" i="1"/>
  <c r="AN47" i="1"/>
  <c r="AO47" i="1"/>
  <c r="P27" i="1"/>
  <c r="J27" i="1"/>
  <c r="AH43" i="1"/>
  <c r="AH42" i="1"/>
  <c r="AQ43" i="1"/>
  <c r="AQ42" i="1"/>
  <c r="AG25" i="1"/>
  <c r="AG29" i="1"/>
  <c r="AG27" i="1"/>
  <c r="BC43" i="1"/>
  <c r="BC42" i="1"/>
  <c r="R43" i="1"/>
  <c r="V52" i="1"/>
  <c r="V47" i="1"/>
  <c r="F47" i="1"/>
  <c r="BA43" i="1"/>
  <c r="B48" i="1"/>
  <c r="BD26" i="5"/>
  <c r="T42" i="5"/>
  <c r="AF26" i="5"/>
  <c r="AV42" i="5"/>
  <c r="B41" i="5"/>
  <c r="X41" i="5"/>
  <c r="BD41" i="5"/>
  <c r="AE41" i="5"/>
  <c r="AI41" i="5"/>
  <c r="W41" i="5"/>
  <c r="BF42" i="5"/>
  <c r="BF26" i="5"/>
  <c r="AD26" i="5"/>
  <c r="AZ26" i="5"/>
  <c r="I25" i="1"/>
  <c r="I29" i="1"/>
  <c r="I27" i="1"/>
  <c r="W29" i="1"/>
  <c r="W27" i="1" s="1"/>
  <c r="W25" i="1"/>
  <c r="E29" i="1"/>
  <c r="E27" i="1" s="1"/>
  <c r="E25" i="1"/>
  <c r="AC25" i="1"/>
  <c r="AC29" i="1"/>
  <c r="AC27" i="1"/>
  <c r="M29" i="1"/>
  <c r="M27" i="1"/>
  <c r="M25" i="1"/>
  <c r="G25" i="1"/>
  <c r="K29" i="1"/>
  <c r="K27" i="1" s="1"/>
  <c r="K25" i="1"/>
  <c r="AT48" i="1"/>
  <c r="AU48" i="1"/>
  <c r="AS42" i="1"/>
  <c r="U43" i="1"/>
  <c r="AB48" i="1"/>
  <c r="AT27" i="1"/>
  <c r="AN42" i="1"/>
  <c r="AZ27" i="1"/>
  <c r="Y52" i="1"/>
  <c r="AM43" i="1"/>
  <c r="AZ43" i="1"/>
  <c r="D47" i="1"/>
  <c r="R48" i="1"/>
  <c r="AY29" i="1"/>
  <c r="AY27" i="1"/>
  <c r="AH23" i="1"/>
  <c r="AI23" i="1" s="1"/>
  <c r="B23" i="1"/>
  <c r="C23" i="1"/>
  <c r="C29" i="1" s="1"/>
  <c r="C27" i="1" s="1"/>
  <c r="T27" i="1"/>
  <c r="T42" i="1"/>
  <c r="AT42" i="1"/>
  <c r="C25" i="1"/>
  <c r="C42" i="5"/>
  <c r="I42" i="5"/>
  <c r="AC42" i="5"/>
  <c r="AK42" i="5"/>
  <c r="AW42" i="5"/>
  <c r="AO41" i="2"/>
  <c r="AV42" i="2"/>
  <c r="S42" i="2"/>
  <c r="L42" i="2"/>
  <c r="AW42" i="2"/>
  <c r="BA41" i="2" l="1"/>
  <c r="AD42" i="2"/>
  <c r="AB22" i="2"/>
  <c r="AC22" i="2" s="1"/>
  <c r="B22" i="2"/>
  <c r="Q22" i="2"/>
  <c r="Q28" i="2" s="1"/>
  <c r="P47" i="2"/>
  <c r="Z41" i="5"/>
  <c r="U25" i="1"/>
  <c r="U29" i="1"/>
  <c r="U27" i="1" s="1"/>
  <c r="Q25" i="1"/>
  <c r="Q29" i="1"/>
  <c r="Q27" i="1" s="1"/>
  <c r="Y25" i="1"/>
  <c r="Y29" i="1"/>
  <c r="Y27" i="1" s="1"/>
  <c r="AI29" i="1"/>
  <c r="AI27" i="1" s="1"/>
  <c r="AI25" i="1"/>
  <c r="AO29" i="1"/>
  <c r="AO27" i="1" s="1"/>
  <c r="AO25" i="1"/>
  <c r="S25" i="1"/>
  <c r="S29" i="1"/>
  <c r="S27" i="1" s="1"/>
  <c r="BA25" i="1"/>
  <c r="BA29" i="1"/>
  <c r="BA27" i="1" s="1"/>
  <c r="BC29" i="1"/>
  <c r="BC27" i="1" s="1"/>
  <c r="BC25" i="1"/>
  <c r="AA25" i="1"/>
  <c r="AA29" i="1"/>
  <c r="AA27" i="1" s="1"/>
  <c r="AW25" i="1"/>
  <c r="AW29" i="1"/>
  <c r="AW27" i="1" s="1"/>
  <c r="AK25" i="1"/>
  <c r="AK29" i="1"/>
  <c r="AK27" i="1" s="1"/>
  <c r="AE29" i="1"/>
  <c r="AE25" i="1"/>
  <c r="AM25" i="1"/>
  <c r="AM29" i="1"/>
  <c r="AM27" i="1" s="1"/>
  <c r="AQ29" i="1"/>
  <c r="AQ27" i="1" s="1"/>
  <c r="AQ25" i="1"/>
  <c r="AV48" i="1"/>
  <c r="AW48" i="1" s="1"/>
  <c r="AC48" i="1"/>
  <c r="K43" i="1"/>
  <c r="AU29" i="1"/>
  <c r="AU27" i="1" s="1"/>
  <c r="AW55" i="1"/>
  <c r="X52" i="1"/>
  <c r="AL27" i="1"/>
  <c r="AS29" i="1"/>
  <c r="AS27" i="1" s="1"/>
  <c r="W42" i="1"/>
  <c r="X47" i="1"/>
  <c r="F43" i="1"/>
  <c r="AJ48" i="1"/>
  <c r="AK48" i="1" s="1"/>
  <c r="AY42" i="1"/>
  <c r="H48" i="1"/>
  <c r="AL48" i="1"/>
  <c r="AM48" i="1" s="1"/>
  <c r="AM55" i="1"/>
  <c r="AJ43" i="1"/>
  <c r="AI48" i="1"/>
  <c r="S41" i="5"/>
  <c r="AB41" i="5"/>
  <c r="AA41" i="5"/>
  <c r="H22" i="5"/>
  <c r="I22" i="5" s="1"/>
  <c r="I24" i="5" s="1"/>
  <c r="T26" i="5"/>
  <c r="AL47" i="5"/>
  <c r="AF41" i="5"/>
  <c r="AN26" i="5"/>
  <c r="J41" i="5"/>
  <c r="F43" i="5"/>
  <c r="F42" i="5"/>
  <c r="AH42" i="5"/>
  <c r="AL42" i="5"/>
  <c r="Y51" i="5"/>
  <c r="Z26" i="5"/>
  <c r="AV26" i="5"/>
  <c r="L42" i="5"/>
  <c r="AK54" i="5"/>
  <c r="AK47" i="5" s="1"/>
  <c r="X47" i="5"/>
  <c r="AJ41" i="5"/>
  <c r="AU42" i="5"/>
  <c r="AH47" i="5"/>
  <c r="AI47" i="5"/>
  <c r="K41" i="5"/>
  <c r="AJ47" i="5"/>
  <c r="U42" i="5"/>
  <c r="C30" i="2"/>
  <c r="Z22" i="2"/>
  <c r="AA22" i="2" s="1"/>
  <c r="AA28" i="2" s="1"/>
  <c r="AA26" i="2" s="1"/>
  <c r="AJ22" i="2"/>
  <c r="AK22" i="2" s="1"/>
  <c r="AK24" i="2" s="1"/>
  <c r="AN26" i="2"/>
  <c r="Y47" i="2"/>
  <c r="AA42" i="2"/>
  <c r="J22" i="2"/>
  <c r="K22" i="2" s="1"/>
  <c r="K24" i="2" s="1"/>
  <c r="AC42" i="2"/>
  <c r="AA47" i="2"/>
  <c r="T22" i="5"/>
  <c r="U22" i="5" s="1"/>
  <c r="U24" i="5" s="1"/>
  <c r="AF22" i="5"/>
  <c r="AG22" i="5" s="1"/>
  <c r="AG28" i="5" s="1"/>
  <c r="AG26" i="5" s="1"/>
  <c r="V26" i="5"/>
  <c r="AN22" i="5"/>
  <c r="AO22" i="5" s="1"/>
  <c r="AO24" i="5" s="1"/>
  <c r="L41" i="5"/>
  <c r="H42" i="5"/>
  <c r="AB42" i="5"/>
  <c r="H41" i="5"/>
  <c r="BA42" i="5"/>
  <c r="AH22" i="5"/>
  <c r="AI22" i="5" s="1"/>
  <c r="AI28" i="5" s="1"/>
  <c r="AI26" i="5" s="1"/>
  <c r="AA47" i="5"/>
  <c r="R26" i="5"/>
  <c r="AM47" i="5"/>
  <c r="AD41" i="5"/>
  <c r="AZ41" i="5"/>
  <c r="R41" i="5"/>
  <c r="AD22" i="5"/>
  <c r="AE22" i="5" s="1"/>
  <c r="AJ26" i="5"/>
  <c r="AT41" i="5"/>
  <c r="J26" i="5"/>
  <c r="V42" i="5"/>
  <c r="AM41" i="5"/>
  <c r="B42" i="5"/>
  <c r="BG41" i="5"/>
  <c r="AH41" i="5"/>
  <c r="AZ22" i="5"/>
  <c r="BA22" i="5" s="1"/>
  <c r="BA28" i="5" s="1"/>
  <c r="BA26" i="5" s="1"/>
  <c r="AT26" i="5"/>
  <c r="D22" i="5"/>
  <c r="E22" i="5" s="1"/>
  <c r="AN41" i="5"/>
  <c r="P48" i="5"/>
  <c r="AG42" i="5"/>
  <c r="X22" i="5"/>
  <c r="Y22" i="5" s="1"/>
  <c r="Y28" i="5" s="1"/>
  <c r="Y26" i="5" s="1"/>
  <c r="AB22" i="5"/>
  <c r="AC22" i="5" s="1"/>
  <c r="AC24" i="5" s="1"/>
  <c r="AT22" i="5"/>
  <c r="AU22" i="5" s="1"/>
  <c r="AU24" i="5" s="1"/>
  <c r="Q22" i="5"/>
  <c r="R22" i="5"/>
  <c r="S22" i="5" s="1"/>
  <c r="S28" i="5" s="1"/>
  <c r="S26" i="5" s="1"/>
  <c r="J22" i="5"/>
  <c r="K22" i="5" s="1"/>
  <c r="K24" i="5" s="1"/>
  <c r="V22" i="5"/>
  <c r="W22" i="5" s="1"/>
  <c r="W24" i="5" s="1"/>
  <c r="BF22" i="5"/>
  <c r="BG22" i="5" s="1"/>
  <c r="BG28" i="5" s="1"/>
  <c r="BG26" i="5" s="1"/>
  <c r="AL22" i="5"/>
  <c r="AM22" i="5" s="1"/>
  <c r="AM24" i="5" s="1"/>
  <c r="Y42" i="5"/>
  <c r="L22" i="5"/>
  <c r="M22" i="5" s="1"/>
  <c r="M24" i="5" s="1"/>
  <c r="AV22" i="5"/>
  <c r="AW22" i="5" s="1"/>
  <c r="AW24" i="5" s="1"/>
  <c r="AN47" i="5"/>
  <c r="BE42" i="5"/>
  <c r="M42" i="5"/>
  <c r="P47" i="5"/>
  <c r="AO42" i="5"/>
  <c r="Z22" i="5"/>
  <c r="AA22" i="5" s="1"/>
  <c r="AA24" i="5" s="1"/>
  <c r="Z47" i="5"/>
  <c r="BD22" i="5"/>
  <c r="BE22" i="5" s="1"/>
  <c r="BE24" i="5" s="1"/>
  <c r="AJ22" i="5"/>
  <c r="AK22" i="5" s="1"/>
  <c r="AK28" i="5" s="1"/>
  <c r="AK26" i="5" s="1"/>
  <c r="AO47" i="5"/>
  <c r="U28" i="5"/>
  <c r="U26" i="5" s="1"/>
  <c r="B26" i="5"/>
  <c r="AH26" i="5"/>
  <c r="I28" i="5"/>
  <c r="I26" i="5" s="1"/>
  <c r="F38" i="5"/>
  <c r="F22" i="5" s="1"/>
  <c r="G22" i="5" s="1"/>
  <c r="D42" i="2"/>
  <c r="AB42" i="2"/>
  <c r="R42" i="2"/>
  <c r="BF56" i="2"/>
  <c r="Z42" i="2"/>
  <c r="AF41" i="2"/>
  <c r="Y41" i="2"/>
  <c r="AK47" i="2"/>
  <c r="BF47" i="2"/>
  <c r="D26" i="2"/>
  <c r="BD42" i="2"/>
  <c r="D22" i="2"/>
  <c r="AH22" i="2"/>
  <c r="AI22" i="2" s="1"/>
  <c r="AI28" i="2" s="1"/>
  <c r="AI26" i="2" s="1"/>
  <c r="BD22" i="2"/>
  <c r="BE22" i="2" s="1"/>
  <c r="BE24" i="2" s="1"/>
  <c r="R22" i="2"/>
  <c r="S22" i="2" s="1"/>
  <c r="S28" i="2" s="1"/>
  <c r="S26" i="2" s="1"/>
  <c r="AL22" i="2"/>
  <c r="AM22" i="2" s="1"/>
  <c r="AM24" i="2" s="1"/>
  <c r="AV22" i="2"/>
  <c r="AW22" i="2" s="1"/>
  <c r="AW28" i="2" s="1"/>
  <c r="AW26" i="2" s="1"/>
  <c r="L22" i="2"/>
  <c r="M22" i="2" s="1"/>
  <c r="M28" i="2" s="1"/>
  <c r="M26" i="2" s="1"/>
  <c r="AZ22" i="2"/>
  <c r="BA22" i="2" s="1"/>
  <c r="BA28" i="2" s="1"/>
  <c r="BA26" i="2" s="1"/>
  <c r="AJ41" i="2"/>
  <c r="X22" i="2"/>
  <c r="Y22" i="2" s="1"/>
  <c r="Y28" i="2" s="1"/>
  <c r="Y26" i="2" s="1"/>
  <c r="AT22" i="2"/>
  <c r="AU22" i="2" s="1"/>
  <c r="AU28" i="2" s="1"/>
  <c r="AU26" i="2" s="1"/>
  <c r="AD22" i="2"/>
  <c r="AE22" i="2" s="1"/>
  <c r="AE28" i="2" s="1"/>
  <c r="AE26" i="2" s="1"/>
  <c r="X42" i="2"/>
  <c r="AF22" i="2"/>
  <c r="AG22" i="2" s="1"/>
  <c r="AG28" i="2" s="1"/>
  <c r="AG26" i="2" s="1"/>
  <c r="V41" i="2"/>
  <c r="AL47" i="2"/>
  <c r="AM41" i="2"/>
  <c r="AU41" i="2"/>
  <c r="V22" i="2"/>
  <c r="W22" i="2" s="1"/>
  <c r="W28" i="2" s="1"/>
  <c r="W26" i="2" s="1"/>
  <c r="T22" i="2"/>
  <c r="U22" i="2" s="1"/>
  <c r="U24" i="2" s="1"/>
  <c r="AH47" i="2"/>
  <c r="BF22" i="2"/>
  <c r="BG22" i="2" s="1"/>
  <c r="BG24" i="2" s="1"/>
  <c r="AN22" i="2"/>
  <c r="AO22" i="2" s="1"/>
  <c r="AO24" i="2" s="1"/>
  <c r="H22" i="2"/>
  <c r="I22" i="2" s="1"/>
  <c r="I24" i="2" s="1"/>
  <c r="AA28" i="5"/>
  <c r="AA26" i="5" s="1"/>
  <c r="AQ28" i="5"/>
  <c r="AQ24" i="5"/>
  <c r="AE24" i="5"/>
  <c r="AE28" i="5"/>
  <c r="AE26" i="5" s="1"/>
  <c r="BE28" i="5"/>
  <c r="BE26" i="5" s="1"/>
  <c r="C28" i="5"/>
  <c r="C26" i="5" s="1"/>
  <c r="C24" i="5"/>
  <c r="BC24" i="5"/>
  <c r="BC28" i="5"/>
  <c r="AY24" i="5"/>
  <c r="AY28" i="5"/>
  <c r="AY26" i="5" s="1"/>
  <c r="BI24" i="5"/>
  <c r="BI28" i="5"/>
  <c r="BI26" i="5" s="1"/>
  <c r="AW28" i="5"/>
  <c r="AW26" i="5" s="1"/>
  <c r="E28" i="5"/>
  <c r="E26" i="5" s="1"/>
  <c r="E24" i="5"/>
  <c r="BG47" i="5"/>
  <c r="O24" i="5"/>
  <c r="E42" i="5"/>
  <c r="BG56" i="5"/>
  <c r="BF55" i="5"/>
  <c r="D26" i="5"/>
  <c r="BF56" i="5"/>
  <c r="G42" i="5"/>
  <c r="F38" i="2"/>
  <c r="X26" i="2"/>
  <c r="AB26" i="2"/>
  <c r="AD26" i="2"/>
  <c r="AZ42" i="2"/>
  <c r="BE41" i="2"/>
  <c r="Q24" i="2"/>
  <c r="BG42" i="2"/>
  <c r="P48" i="2"/>
  <c r="BF42" i="2"/>
  <c r="V26" i="2"/>
  <c r="AN47" i="2"/>
  <c r="M42" i="2"/>
  <c r="Z51" i="2"/>
  <c r="E41" i="2"/>
  <c r="BF26" i="2"/>
  <c r="C22" i="2"/>
  <c r="BE28" i="2" s="1"/>
  <c r="BE26" i="2" s="1"/>
  <c r="AK41" i="2"/>
  <c r="U41" i="2"/>
  <c r="W41" i="2"/>
  <c r="AS26" i="2"/>
  <c r="AS24" i="2" s="1"/>
  <c r="AI41" i="2"/>
  <c r="AH42" i="2"/>
  <c r="AJ47" i="2"/>
  <c r="AJ42" i="2"/>
  <c r="AE42" i="2"/>
  <c r="BC24" i="2"/>
  <c r="BC28" i="2"/>
  <c r="B42" i="2"/>
  <c r="AN41" i="2"/>
  <c r="H26" i="2"/>
  <c r="AM47" i="2"/>
  <c r="BD26" i="2"/>
  <c r="BG55" i="2"/>
  <c r="AO47" i="2"/>
  <c r="AJ26" i="2"/>
  <c r="AL26" i="2"/>
  <c r="J26" i="2"/>
  <c r="AI47" i="2"/>
  <c r="Z26" i="2"/>
  <c r="X47" i="2"/>
  <c r="AT26" i="2"/>
  <c r="AZ26" i="2"/>
  <c r="B26" i="2"/>
  <c r="AF26" i="2"/>
  <c r="L26" i="2"/>
  <c r="AV26" i="2"/>
  <c r="R26" i="2"/>
  <c r="T42" i="2"/>
  <c r="AQ28" i="2"/>
  <c r="AQ24" i="2"/>
  <c r="K28" i="2"/>
  <c r="K26" i="2" s="1"/>
  <c r="BI24" i="2"/>
  <c r="BI28" i="2"/>
  <c r="BI26" i="2" s="1"/>
  <c r="AC28" i="2"/>
  <c r="AC26" i="2" s="1"/>
  <c r="AC24" i="2"/>
  <c r="O28" i="2"/>
  <c r="O26" i="2" s="1"/>
  <c r="O24" i="2"/>
  <c r="AT42" i="2"/>
  <c r="BG47" i="2"/>
  <c r="T26" i="2"/>
  <c r="AH26" i="2"/>
  <c r="J42" i="2"/>
  <c r="I41" i="2"/>
  <c r="C42" i="2"/>
  <c r="K41" i="2"/>
  <c r="AY28" i="2"/>
  <c r="AY26" i="2" s="1"/>
  <c r="D41" i="2"/>
  <c r="G41" i="2"/>
  <c r="U28" i="2" l="1"/>
  <c r="U26" i="2" s="1"/>
  <c r="S24" i="2"/>
  <c r="AE24" i="2"/>
  <c r="AU28" i="5"/>
  <c r="AU26" i="5" s="1"/>
  <c r="AI24" i="5"/>
  <c r="M28" i="5"/>
  <c r="M26" i="5" s="1"/>
  <c r="AC28" i="5"/>
  <c r="AC26" i="5" s="1"/>
  <c r="AG24" i="5"/>
  <c r="BA24" i="5"/>
  <c r="S24" i="5"/>
  <c r="AO28" i="5"/>
  <c r="AO26" i="5" s="1"/>
  <c r="AK24" i="5"/>
  <c r="AM28" i="2"/>
  <c r="AM26" i="2" s="1"/>
  <c r="AU24" i="2"/>
  <c r="AK28" i="2"/>
  <c r="AK26" i="2" s="1"/>
  <c r="AA24" i="2"/>
  <c r="AM28" i="5"/>
  <c r="AM26" i="5" s="1"/>
  <c r="BG24" i="5"/>
  <c r="Y24" i="5"/>
  <c r="Q28" i="5"/>
  <c r="Q24" i="5"/>
  <c r="W28" i="5"/>
  <c r="W26" i="5" s="1"/>
  <c r="K28" i="5"/>
  <c r="K26" i="5" s="1"/>
  <c r="F26" i="5"/>
  <c r="G38" i="2"/>
  <c r="G47" i="2" s="1"/>
  <c r="F47" i="2"/>
  <c r="BA24" i="2"/>
  <c r="G38" i="5"/>
  <c r="G47" i="5" s="1"/>
  <c r="F47" i="5"/>
  <c r="M24" i="2"/>
  <c r="AI24" i="2"/>
  <c r="AO28" i="2"/>
  <c r="AO26" i="2" s="1"/>
  <c r="W24" i="2"/>
  <c r="C28" i="2"/>
  <c r="C26" i="2" s="1"/>
  <c r="C24" i="2"/>
  <c r="Y24" i="2"/>
  <c r="BG28" i="2"/>
  <c r="BG26" i="2" s="1"/>
  <c r="AW24" i="2"/>
  <c r="AG24" i="2"/>
  <c r="I28" i="2"/>
  <c r="I26" i="2" s="1"/>
  <c r="D59" i="2"/>
  <c r="E22" i="2"/>
  <c r="G28" i="5"/>
  <c r="G24" i="5"/>
  <c r="F26" i="2"/>
  <c r="F22" i="2"/>
  <c r="G22" i="2" s="1"/>
  <c r="G28" i="2" s="1"/>
  <c r="G26" i="2" l="1"/>
  <c r="G26" i="5"/>
  <c r="E28" i="2"/>
  <c r="E26" i="2" s="1"/>
  <c r="E24" i="2"/>
  <c r="G24" i="2"/>
</calcChain>
</file>

<file path=xl/comments1.xml><?xml version="1.0" encoding="utf-8"?>
<comments xmlns="http://schemas.openxmlformats.org/spreadsheetml/2006/main">
  <authors>
    <author>Leverette</author>
    <author>Leverette, Terry</author>
    <author>SCJD</author>
  </authors>
  <commentList>
    <comment ref="N20" authorId="0" shapeId="0">
      <text>
        <r>
          <rPr>
            <b/>
            <sz val="12"/>
            <color indexed="81"/>
            <rFont val="Tahoma"/>
            <family val="2"/>
          </rPr>
          <t xml:space="preserve">Bond estreatments, Section 17-15-260
</t>
        </r>
        <r>
          <rPr>
            <sz val="12"/>
            <color indexed="81"/>
            <rFont val="Tahoma"/>
            <family val="2"/>
          </rPr>
          <t>Section 17-15-260 provides that the funds resulting from a bond estreatment are divided as follows: 25% to the state general fund, 25% to the solicitor's office, and 50% to the county general fund. If the case was originated by a municipality, the estreated funds are divided as follows: 25% to the state general fund, 25% to the solicitor's office, 25% to the county general fund, and 25% to the municipality. The state's portion should be turned over to the County Treasurer on a monthly basis for transmittal to the State Treasurer.</t>
        </r>
        <r>
          <rPr>
            <sz val="8"/>
            <color indexed="81"/>
            <rFont val="Tahoma"/>
          </rPr>
          <t xml:space="preserve">
</t>
        </r>
      </text>
    </comment>
    <comment ref="P20" authorId="0" shapeId="0">
      <text>
        <r>
          <rPr>
            <b/>
            <sz val="12"/>
            <color indexed="81"/>
            <rFont val="Tahoma"/>
            <family val="2"/>
          </rPr>
          <t xml:space="preserve">Insurance fraud, Section 38-55-560
</t>
        </r>
        <r>
          <rPr>
            <sz val="12"/>
            <color indexed="81"/>
            <rFont val="Tahoma"/>
            <family val="2"/>
          </rPr>
          <t>Section 38-55-560 requires that 100% of all criminal fines generated from violations of Section 38-55-170 or 540 must be transmitted to the Insurance Fraud Division of the Office of the Attorney General. The statute provides that SLED and the Attorney General divide these funds equally, and those two agencies have entered into a written agreement whereby the Attorney General receives the funds and then makes the proper distribution to SLED. These funds should be clearly noted on your report to the county so that the proper amount of funds can be transmitted to Byron R. Roberts, Director, Insurance Fraud Division, Office of the Attorney General, P. O. Box 11549, Columbia, South Carolina 29211. See "Attachment I" for use in transmitting these funds to the County Treasurer. The assessments discussed in I.A.2., I.A.3., I.A.4., and I.A.5. above should also be collected on these violations.</t>
        </r>
        <r>
          <rPr>
            <sz val="8"/>
            <color indexed="81"/>
            <rFont val="Tahoma"/>
            <family val="2"/>
          </rPr>
          <t xml:space="preserve">
</t>
        </r>
      </text>
    </comment>
    <comment ref="R20" authorId="0" shapeId="0">
      <text>
        <r>
          <rPr>
            <b/>
            <sz val="12"/>
            <color indexed="10"/>
            <rFont val="Tahoma"/>
            <family val="2"/>
          </rPr>
          <t>§ 44-1-152.</t>
        </r>
        <r>
          <rPr>
            <b/>
            <sz val="12"/>
            <color indexed="81"/>
            <rFont val="Tahoma"/>
            <family val="2"/>
          </rPr>
          <t xml:space="preserve"> Disposition of revenues from fines and forfeitures for violation of shellfish laws.
 Notwithstanding any other provision of law, all revenue from any fine or any forfeiture of bond for any violation of any shellfish law or regulation provided by this title must be deposited monthly with the treasurer of the county in which the arrest for such violation was made. One-third of such revenue must be retained by the county treasurer to be used for the general operating needs of the county pursuant to the direction of the governing body of the county. Two-thirds of such revenue must be remitted quarterly to the state Department of Health and Environmental Control of which one-half is to be used in enforcing shellfish laws and regulations and one-half of such revenue must be remitted quarterly to the state's general fund. All monies derived from auction sales of confiscated equipment pursuant to &gt; Section 44-1-151 must be deposited, retained, remitted, and used in the same manner as provided in this section for all revenue derived from any fine or any violation of any shellfish law or regulation. A report of fines for forfeitures of bonds regarding shellfish violations must be sent to the state Department of Health and Environmental Control monthly by each magistrate and clerk of court in this State. A report of monies derived from auction of sales of confiscated equipment must be sent to the state Department of Health and Environmental Control monthly by each sheriff.</t>
        </r>
      </text>
    </comment>
    <comment ref="T20" authorId="0" shapeId="0">
      <text>
        <r>
          <rPr>
            <b/>
            <sz val="12"/>
            <color indexed="81"/>
            <rFont val="Tahoma"/>
            <family val="2"/>
          </rPr>
          <t xml:space="preserve">Game or fish law violations, Sections 50-9-910, 50-5-25, 50-21-160, 50-23-220, and 50-9-920
</t>
        </r>
        <r>
          <rPr>
            <sz val="12"/>
            <color indexed="81"/>
            <rFont val="Tahoma"/>
            <family val="2"/>
          </rPr>
          <t xml:space="preserve">
Pursuant to section 50-9-910, one hundred percent of all revenues from fines and forfeitures from violations of Chapters 1 through 16 of Title 50 (Fish, Game, and Wildlife), except for violations of marine resources laws, shall be transmitted to the County Treasurer monthly. The treasurer then transmits the funds by the 15th of each month to the Department of Natural Resources, Accounting Department, to be credited to the County Game and Fish Fund for the county in which the offense occurred.  The remittances shall be accompanied by a statement showing the name of all persons fined, the amount of each fine, the summons number and the court in which each fine was collected. 
 Section 50-5-25 provides for the distribution of all revenues from fines and forfeitures for violations of marine resource laws.  Similar to the distribution discussed immediately above, that section provides that one hundred percent of these fines shall be transmitted to the County Treasurer monthly, and then forwarded to the State Treasurer by the 15th of each month, to be credited to the Wildlife Department and deposited in the County Game and Fish Fund for the county in which the offense occurred.</t>
        </r>
        <r>
          <rPr>
            <sz val="8"/>
            <color indexed="81"/>
            <rFont val="Tahoma"/>
            <family val="2"/>
          </rPr>
          <t xml:space="preserve">
</t>
        </r>
      </text>
    </comment>
    <comment ref="X20" authorId="0" shapeId="0">
      <text>
        <r>
          <rPr>
            <sz val="12"/>
            <color indexed="81"/>
            <rFont val="Tahoma"/>
            <family val="2"/>
          </rPr>
          <t xml:space="preserve">Section 50-21-160 provides that 75% of all fine revenues generated pursuant to offenses contained within Chapter 21 of Title 50 shall be forwarded to the County Treasurer monthly, who shall forward it by the 15th of each month to the Wildlife Department, Natural Resource Enforcement Division.  25% of those fines must be forwarded to the County Treasurer monthly and retained by the County in which the fine is levied, and placed in the County General Fund.
</t>
        </r>
      </text>
    </comment>
    <comment ref="Z20" authorId="0" shapeId="0">
      <text>
        <r>
          <rPr>
            <b/>
            <sz val="12"/>
            <color indexed="81"/>
            <rFont val="Tahoma"/>
            <family val="2"/>
          </rPr>
          <t>Axle weight and gross weight violations, Section 56-5-4160</t>
        </r>
        <r>
          <rPr>
            <sz val="12"/>
            <color indexed="81"/>
            <rFont val="Tahoma"/>
            <family val="2"/>
          </rPr>
          <t xml:space="preserve">
Section 56-5-4160 provides that all fines collected for violating the weight limits set by Section 56-5-4130 or Section 56-5-4140 must be deposited within 45 days in the account designated the "Size and Weight Revitalization Program Fund for Permanent Improvements". These funds should be clearly noted on your report to the County Treasurer so that the proper amount of fines can be transmitted to the State Transport Police at 10311 Wilson Boulevard, P.O. Box 1993, Blythewood, SC 29016. The assessment discussed in I.A.2., I.A.4., and I.A.5., but not I.A.3., above should be collected on weight violations.</t>
        </r>
      </text>
    </comment>
    <comment ref="AZ20" authorId="1" shapeId="0">
      <text>
        <r>
          <rPr>
            <b/>
            <sz val="12"/>
            <color indexed="81"/>
            <rFont val="Tahoma"/>
            <family val="2"/>
          </rPr>
          <t xml:space="preserve">12.   Fees and Fines assessed by the Aeronautics Commission, Section 55-1-7
Effective June 18, 2012, Act No. 270 added Section 55-1-7 </t>
        </r>
        <r>
          <rPr>
            <b/>
            <sz val="12"/>
            <color indexed="10"/>
            <rFont val="Tahoma"/>
            <family val="2"/>
          </rPr>
          <t>requires that 100% of all fees and fines collected from a violation contained in any Chapter of Title 55 of the South Carolina Code of Laws, relating to the criminal and civil enforcement provisions of the Aeronautics Commission, must be remitted to the State Treasurer to be deposited into the State Aviation Fund.</t>
        </r>
        <r>
          <rPr>
            <b/>
            <sz val="12"/>
            <color indexed="81"/>
            <rFont val="Tahoma"/>
            <family val="2"/>
          </rPr>
          <t xml:space="preserve"> These funds should be clearly noted on your report to the County Treasurer so that the proper amount of fines can be transmitted to the State Treasurer for disbursement into the State Aviation Fund. The assessments discussed in I.A.2., I.A.3., I.A.4., and I.A.5. above should be collected on criminal violations of Title 55, but not civil violations.</t>
        </r>
        <r>
          <rPr>
            <b/>
            <sz val="9"/>
            <color indexed="81"/>
            <rFont val="Tahoma"/>
            <family val="2"/>
          </rPr>
          <t xml:space="preserve">
</t>
        </r>
        <r>
          <rPr>
            <sz val="9"/>
            <color indexed="81"/>
            <rFont val="Tahoma"/>
            <family val="2"/>
          </rPr>
          <t xml:space="preserve">
</t>
        </r>
      </text>
    </comment>
    <comment ref="BB20" authorId="1" shapeId="0">
      <text>
        <r>
          <rPr>
            <b/>
            <sz val="12"/>
            <color indexed="81"/>
            <rFont val="Tahoma"/>
            <family val="2"/>
          </rPr>
          <t xml:space="preserve">8.   a. Exception: Criminally Negligent Use of Firearms/Archery Tackle, Section 50-1-85
</t>
        </r>
        <r>
          <rPr>
            <sz val="12"/>
            <color indexed="81"/>
            <rFont val="Tahoma"/>
            <family val="2"/>
          </rPr>
          <t>An exception to the general distribution of Title 50 offenses is found in Section 50-1-85, regarding Criminally Negligent Use of Firearms/Archery Tackle.  That statute requires that 100% of all fines collected from a violation of the statute must be remitted to the State Treasurer to be deposited into the South Carolina Victim's Compensation Fund. These funds should be clearly noted on your report to the County Treasurer so that the proper amount of fines can be transmitted to the State Treasurer for disbursement into the Victim's Compensation Fund. The assessments discussed in I.A.2., I.A.3., I.A.4., and I.A.5. above should be collected on violations of Section 50-1-85 violations, and forwarded through your County Treasurer to the State Treasurer for distribution to the normal recipients.</t>
        </r>
        <r>
          <rPr>
            <b/>
            <sz val="9"/>
            <color indexed="81"/>
            <rFont val="Tahoma"/>
            <family val="2"/>
          </rPr>
          <t xml:space="preserve">
</t>
        </r>
        <r>
          <rPr>
            <sz val="9"/>
            <color indexed="81"/>
            <rFont val="Tahoma"/>
            <family val="2"/>
          </rPr>
          <t xml:space="preserve">
</t>
        </r>
      </text>
    </comment>
    <comment ref="A29" authorId="0" shapeId="0">
      <text>
        <r>
          <rPr>
            <b/>
            <sz val="12"/>
            <color indexed="81"/>
            <rFont val="Tahoma"/>
            <family val="2"/>
          </rPr>
          <t xml:space="preserve">Payment of the fine and assessment by installments, Section 14-1-209(A) and 3% collection cost charge, Section 14-17-725
When an individual pays the fine and/or assessment through installments, Section 14-17-725 provides that the clerk must collect an additional 3% of the installment payment as a collection cost charge. The collection cost is transmitted to the County Treasurer for deposit to the county general fund.
</t>
        </r>
        <r>
          <rPr>
            <sz val="12"/>
            <color indexed="81"/>
            <rFont val="Tahoma"/>
            <family val="2"/>
          </rPr>
          <t>When the fine and assessment are paid in installments, Section 47.11 of the Temporary Provisions of the General Appropriations Act suspends Section 14-1-209(B) for the fiscal year 2008 - 2009 and requires that 51.80722% of each installment be treated as a payment towards the assessment. The remaining 48.192771% is treated as a payment towards the fine. The fine amount must be further divided, with 56% of the amount being retained by the county, and 44% being remitted to the state. The assessment amount must further be divided, with 64.65 being transmitted to the state, and 35.35 being retained by the county for victims' services. Prior to making these computations, you must determine what other assessments may apply (conviction surcharge, DUI assessments, etc.). Those charges must be collected separately and not included in the percentage splits explained above. Funds collected as installments should not be held until full payment is received but must be remitted each month to the County Treasurer. To compensate for any slight shift in funds, the division of the final installment payment should be adjusted so that the portion collected as the assessment does not exceed the amount originally imposed.</t>
        </r>
        <r>
          <rPr>
            <sz val="8"/>
            <color indexed="81"/>
            <rFont val="Tahoma"/>
            <family val="2"/>
          </rPr>
          <t xml:space="preserve">
</t>
        </r>
      </text>
    </comment>
    <comment ref="O29" authorId="0" shapeId="0">
      <text>
        <r>
          <rPr>
            <b/>
            <sz val="12"/>
            <color indexed="81"/>
            <rFont val="Tahoma"/>
            <family val="2"/>
          </rPr>
          <t xml:space="preserve">Payment of estreatment in installments, Section 38-53-70
</t>
        </r>
        <r>
          <rPr>
            <sz val="12"/>
            <color indexed="81"/>
            <rFont val="Tahoma"/>
            <family val="2"/>
          </rPr>
          <t>Section 38-53-70 provides that the court may allow the surety to pay an estreatment in installments for a period of up to six months. However, the surety must pay a handling fee to the court in an amount equal to 4% of the value of the bond. Per Order of the Chief Justice dated November 14, 2002, the 4% handling fee should be dispersed with the other monies estreated pursuant to I.A.4. above.</t>
        </r>
        <r>
          <rPr>
            <sz val="8"/>
            <color indexed="81"/>
            <rFont val="Tahoma"/>
          </rPr>
          <t xml:space="preserve">
</t>
        </r>
      </text>
    </comment>
    <comment ref="A30" authorId="0" shapeId="0">
      <text>
        <r>
          <rPr>
            <b/>
            <sz val="12"/>
            <color indexed="81"/>
            <rFont val="Tahoma"/>
            <family val="2"/>
          </rPr>
          <t xml:space="preserve">Surcharge on all convictions, Section 14-1-211
</t>
        </r>
        <r>
          <rPr>
            <sz val="12"/>
            <color indexed="81"/>
            <rFont val="Tahoma"/>
            <family val="2"/>
          </rPr>
          <t xml:space="preserve">In addition to all other assessments and surcharges, a one hundred dollar surcharge is imposed on all convictions obtained in general sessions court. The surcharge must not be imposed on convictions for misdemeanor traffic offenses. However, the surcharge applies to all violations of Section 56-5-2930, driving under the influence of liquor, drugs, or like substances, and Section 56-5-2933, driving with unlawful alcohol content (DUAC). No portion of the surcharge may be waived, reduced, or suspended. </t>
        </r>
        <r>
          <rPr>
            <sz val="8"/>
            <color indexed="81"/>
            <rFont val="Tahoma"/>
            <family val="2"/>
          </rPr>
          <t xml:space="preserve">
</t>
        </r>
      </text>
    </comment>
    <comment ref="A31" authorId="0" shapeId="0">
      <text>
        <r>
          <rPr>
            <b/>
            <sz val="12"/>
            <color indexed="81"/>
            <rFont val="Tahoma"/>
            <family val="2"/>
          </rPr>
          <t xml:space="preserve">Surcharge on all convictions, Law Enforcement Funding, Section 90.2, Part 1B Temporary Provisos
In addition to all other assessments and surcharges, during fiscal year 2008-2009, a twenty-five dollar surcharge is levied on all fines, forfeitures, escheatments, or other monetary penalties imposed in general sessions court.  No portion of the surcharge may be waived, reduced, or suspended.  The surcharge does not apply to State or local laws concerning parking violations, but those charges are disposed of in the summary courts.  The revenue collected from the surcharge must be retained by the jurisdiction which heard or processed the case and paid to the State Treasurer within thirty days after receipt.  These funds should be clearly designated when transmitted to your County Treasurer and then forwarded to the State Treasurer.  </t>
        </r>
        <r>
          <rPr>
            <sz val="8"/>
            <color indexed="81"/>
            <rFont val="Tahoma"/>
          </rPr>
          <t xml:space="preserve">
</t>
        </r>
      </text>
    </comment>
    <comment ref="A32" authorId="0" shapeId="0">
      <text>
        <r>
          <rPr>
            <b/>
            <sz val="12"/>
            <color indexed="81"/>
            <rFont val="Tahoma"/>
            <family val="2"/>
          </rPr>
          <t xml:space="preserve">Surcharge on convictions of Sections 56-5-2930(DUI) and 56-5-2933(DUAC), Section 14-1-211(A)(2)
</t>
        </r>
        <r>
          <rPr>
            <sz val="12"/>
            <color indexed="81"/>
            <rFont val="Tahoma"/>
            <family val="2"/>
          </rPr>
          <t>Section 14-1-211(A)(2) requires that a one hundred dollar surcharge be imposed on all convictions of Sections 56-5-2930(DUI) and 56-5-2933(DUAC). No portion of the surcharge may be waived, reduced, or suspended. These funds should be clearly designated when transmitted to your County Treasurer and then forwarded to the State Treasurer. The State Treasurer shall put these funds in a separate account to be used for spinal cord research at MUSC. Section 56-5-2945 (Felony DUI) was not included in Section 14-1-211(A)(2), so the surcharge is not imposed on those convictions.</t>
        </r>
        <r>
          <rPr>
            <sz val="8"/>
            <color indexed="81"/>
            <rFont val="Tahoma"/>
          </rPr>
          <t xml:space="preserve">
</t>
        </r>
      </text>
    </comment>
    <comment ref="A33" authorId="0" shapeId="0">
      <text>
        <r>
          <rPr>
            <b/>
            <sz val="12"/>
            <color indexed="81"/>
            <rFont val="Tahoma"/>
            <family val="2"/>
          </rPr>
          <t>DUI assessment, Section 56-5-2995(B)</t>
        </r>
        <r>
          <rPr>
            <sz val="12"/>
            <color indexed="81"/>
            <rFont val="Tahoma"/>
            <family val="2"/>
          </rPr>
          <t xml:space="preserve">
In addition to the assessments and surcharges discussed in 1.A.2., 1.A.3., I.A.4, I.A.5., and I.A.6. above, an additional assessment of twelve dollars must be added to all second and subsequent violations of Section 56-5-2930, DUI, Section 56-5-2933 (DUAC), and for all violations of Section 56-5-2945, Felony DUI (I.A.5. above does not apply to Felony DUI). No portion of the surcharge may be waived, reduced, or suspended. These funds should be clearly designated and forwarded to your County Treasurer for transmittal to the State Treasurer for disbursal pursuant to Section 14-1-201.  </t>
        </r>
      </text>
    </comment>
    <comment ref="A34" authorId="0" shapeId="0">
      <text>
        <r>
          <rPr>
            <b/>
            <sz val="12"/>
            <color indexed="81"/>
            <rFont val="Tahoma"/>
            <family val="2"/>
          </rPr>
          <t xml:space="preserve">Drug Court Surcharge, Section § 14-1-213
</t>
        </r>
        <r>
          <rPr>
            <b/>
            <sz val="12"/>
            <color indexed="10"/>
            <rFont val="Tahoma"/>
            <family val="2"/>
          </rPr>
          <t>After June 2, 2010 R. 262, S. 1154</t>
        </r>
        <r>
          <rPr>
            <b/>
            <sz val="12"/>
            <color indexed="81"/>
            <rFont val="Tahoma"/>
            <family val="2"/>
          </rPr>
          <t xml:space="preserve">
</t>
        </r>
        <r>
          <rPr>
            <sz val="12"/>
            <color indexed="81"/>
            <rFont val="Tahoma"/>
            <family val="2"/>
          </rPr>
          <t>In addition to all other assessments and surcharges required to be imposed by law, a one hundred fifty dollar surcharge is imposed on all misdemeanor and felony drug offense convictions in the court of general sessions.  No portion of the surcharge may be waived, reduced, or suspended.  The revenue collected pursuant to this Section must be retained by the jurisdiction which heard or processed the case and paid to the State Treasurer within thirty days after receipt.  These funds should be clearly designated when transmitted to your 
County Treasurer and then forwarded to the State Treasurer.  
Section 14-1-213 (D) provides that the State Treasurer may request the State Auditor to examine the financial records of any jurisdiction which he believes is not timely transmitting the funds required to be paid to the State Treasurer under this Section.  The State Auditor is further authorized to conduct these examinations and the local jurisdiction is required to participate in and cooperate fully with the examination.</t>
        </r>
        <r>
          <rPr>
            <b/>
            <sz val="12"/>
            <color indexed="81"/>
            <rFont val="Tahoma"/>
            <family val="2"/>
          </rPr>
          <t xml:space="preserve">
</t>
        </r>
        <r>
          <rPr>
            <b/>
            <sz val="12"/>
            <color indexed="10"/>
            <rFont val="Tahoma"/>
            <family val="2"/>
          </rPr>
          <t>Before June 2, 2010</t>
        </r>
        <r>
          <rPr>
            <b/>
            <sz val="12"/>
            <color indexed="81"/>
            <rFont val="Tahoma"/>
            <family val="2"/>
          </rPr>
          <t xml:space="preserve">
</t>
        </r>
        <r>
          <rPr>
            <sz val="12"/>
            <color indexed="81"/>
            <rFont val="Tahoma"/>
            <family val="2"/>
          </rPr>
          <t xml:space="preserve">In addition to all other assessments and surcharges required to be imposed by law, a one hundred dollar surcharge is imposed on all misdemeanor and felony drug offense convictions in the court of general sessions.  No portion of the surcharge may be waived, reduced, or suspended.  The revenue collected pursuant to this Section must be retained by the jurisdiction which heard or processed the case and paid to the State Treasurer within thirty days after receipt.  These funds should be clearly designated when transmitted to your County Treasurer and then forwarded to the State Treasurer.  </t>
        </r>
      </text>
    </comment>
    <comment ref="A35" authorId="0" shapeId="0">
      <text>
        <r>
          <rPr>
            <b/>
            <sz val="12"/>
            <color indexed="81"/>
            <rFont val="Tahoma"/>
            <family val="2"/>
          </rPr>
          <t>Boating Under the Influence Breath Test Fee, Section 50-21-114</t>
        </r>
        <r>
          <rPr>
            <sz val="12"/>
            <color indexed="81"/>
            <rFont val="Tahoma"/>
            <family val="2"/>
          </rPr>
          <t xml:space="preserve">
Section 50-21-114 requires that any individual convicted of, pleading guilty or nolo contendere to, or forfeiting bond for violating Section 50-21-112 (BUI) or 50-21-113 (Felony BUI), and who was administered a breathalyzer examination at the time of arrest, must be assessed an additional fee of $50.00 at the time of sentencing.  This fee must be forwarded by the County Treasurer to the State Treasurer and credited to the General Fund of the State to defray any costs incurred by SLED and individuals and institutions attaining the samples forwarded to SLED.  </t>
        </r>
      </text>
    </comment>
    <comment ref="A36" authorId="0" shapeId="0">
      <text>
        <r>
          <rPr>
            <b/>
            <sz val="12"/>
            <color indexed="81"/>
            <rFont val="Tahoma"/>
            <family val="2"/>
          </rPr>
          <t>DUI Vehicle Assessment, Section 56-5-2942 (J)</t>
        </r>
        <r>
          <rPr>
            <sz val="12"/>
            <color indexed="81"/>
            <rFont val="Tahoma"/>
            <family val="2"/>
          </rPr>
          <t xml:space="preserve">
The Court must assess a fee of $40.00 for each motor vehicle owned by or registered to the person convicted of a second or subsequent violation of Sections 56-5-2930, 56-5-2933, or 56-5-2945.  This fee must be transmitted to the County Treasurer and placed into a special restricted interest bearing account to be used by the Department of Public Safety to defray the expenses of the Division of Motor Vehicles.  </t>
        </r>
      </text>
    </comment>
    <comment ref="A37" authorId="0" shapeId="0">
      <text>
        <r>
          <rPr>
            <b/>
            <sz val="12"/>
            <color indexed="81"/>
            <rFont val="Tahoma"/>
            <family val="2"/>
          </rPr>
          <t xml:space="preserve">11.    DUI, DUAC, Felony DUI Breath Test Fee, Section 56-5-2950(E)                                                                         </t>
        </r>
        <r>
          <rPr>
            <sz val="12"/>
            <color indexed="81"/>
            <rFont val="Tahoma"/>
            <family val="2"/>
          </rPr>
          <t xml:space="preserve">
Section 56-5-2950(E) requires that any individual convicted of, pleading guilty or nolo contendere to, or forfeiting bond for violating Section 56-5-2930 (DUI), 56-5-2933 (DUAC), or 56-5-2945 (Felony DUI), and who was administered a breathalyzer examination at the time of arrest, must be assessed an additional fee of $25.00 at the time of sentencing.  This fee must be forwarded to the County Treasurer and to the State Treasurer, and placed by the Comptroller General into a special account to be used by SLED to offset the costs of administration of the breath testing devices, breath testing site video program, and toxicology laboratory.  </t>
        </r>
        <r>
          <rPr>
            <sz val="12"/>
            <color indexed="10"/>
            <rFont val="Tahoma"/>
            <family val="2"/>
          </rPr>
          <t>The $25.00 breathalyzer fee applies only to those charges made on or after February 10, 2009, at 12:00 p.m.</t>
        </r>
        <r>
          <rPr>
            <sz val="12"/>
            <color indexed="81"/>
            <rFont val="Tahoma"/>
            <family val="2"/>
          </rPr>
          <t xml:space="preserve">  </t>
        </r>
      </text>
    </comment>
    <comment ref="A38" authorId="2" shapeId="0">
      <text>
        <r>
          <rPr>
            <b/>
            <sz val="11"/>
            <color indexed="10"/>
            <rFont val="Tahoma"/>
            <family val="2"/>
          </rPr>
          <t xml:space="preserve">10. Conditional Discharge fee, Section 44-53-450(C) </t>
        </r>
        <r>
          <rPr>
            <b/>
            <sz val="11"/>
            <color indexed="81"/>
            <rFont val="Tahoma"/>
            <family val="2"/>
          </rPr>
          <t xml:space="preserve">
Before a person may be discharged and proceedings dismissed in a General Sessions court as a result of the successful completion of a conditional discharge as defined in 44-53-450, the person must pay a fee of three hundred fifty dollars.  No portion of the fee may be waived, reduced, or suspended, except in the case of indigency.  If the court determines that a person is indigent, the court may partially or totally waive, reduce, or suspend the fee.
T
he revenue collected pursuant to this subsection must be retained by the jurisdiction that heard or processed the case and paid to the State Treasurer within thirty days of receipt, who shall forward the funds to the Prosecution Coordination Commission.  The State Treasurer may request the State Auditor to examine the financial records of a jurisdiction which he believes is not timely transmitting the funds required to be paid to the State Treasurer pursuant to this subsection.  The State Auditor is further authorized to conduct these examinations and the local jurisdiction is required to participate in and cooperate fully with the examination.</t>
        </r>
      </text>
    </comment>
    <comment ref="A41" authorId="0" shapeId="0">
      <text>
        <r>
          <rPr>
            <b/>
            <sz val="12"/>
            <color indexed="81"/>
            <rFont val="Tahoma"/>
            <family val="2"/>
          </rPr>
          <t xml:space="preserve">Section 47.11 of the Temporary Provisions of the General Appropriations Act, which suspends Section 14-1-206 for the fiscal year 2008-2009, requires any person who is convicted, pleads guilty or nolo contendere to, or forfeits bond in payment of a fine for an offense tried in general sessions court to pay an assessment in an amount equal to 107.5% of the fine actually imposed. If a portion of the fine is suspended, the assessment is calculated on the amount of the fine that is not suspended. </t>
        </r>
        <r>
          <rPr>
            <sz val="8"/>
            <color indexed="81"/>
            <rFont val="Tahoma"/>
          </rPr>
          <t xml:space="preserve">
</t>
        </r>
      </text>
    </comment>
    <comment ref="A42" authorId="0" shapeId="0">
      <text>
        <r>
          <rPr>
            <b/>
            <sz val="12"/>
            <color indexed="81"/>
            <rFont val="Tahoma"/>
            <family val="2"/>
          </rPr>
          <t>The amount collected as assessments must be forwarded each month to the County Treasurer, who shall retain 35.35% of the revenue generated by the assessment for the county, and transmit the remaining 64.65% to the State Treasurer by the fifteenth of each month on forms and in a manner prescribed by him. 
The 35.35% retained by the county must be used exclusively for providing victim services as required by Article 15 of Title 16; specifically, those service requirements that are imposed on local law enforcement, local detention facilities, prosecutors, and the summary courts. First priority must be given to those victims' assistance programs which are required by Article 15 of Title 16 and second priority must be given to programs which expand victims' services beyond those required by Article 15 of Title 16. Any funds retained by the County Treasurer which are not used for victim services at the end of the fiscal year must be carried forward to the next year and used exclusively for services for victims of crimes. All unused funds must be separately identified in the counties adopted budget as funds unused and carried forward from previous years.</t>
        </r>
        <r>
          <rPr>
            <b/>
            <sz val="8"/>
            <color indexed="81"/>
            <rFont val="Tahoma"/>
          </rPr>
          <t xml:space="preserve">
</t>
        </r>
        <r>
          <rPr>
            <sz val="8"/>
            <color indexed="81"/>
            <rFont val="Tahoma"/>
          </rPr>
          <t xml:space="preserve">
</t>
        </r>
      </text>
    </comment>
    <comment ref="A43" authorId="0" shapeId="0">
      <text>
        <r>
          <rPr>
            <b/>
            <sz val="10"/>
            <color indexed="81"/>
            <rFont val="Tahoma"/>
            <family val="2"/>
          </rPr>
          <t>§ 14-1-206. Additional assessment, general sessions or family court;  remittance;  disposition;  annual audits.
  (A) Beginning January 1, 1995, and continuously after that date, a person who is convicted of, pleads guilty or nolo contendere to, or forfeits bond for an offense tried in general sessions court must pay an amount equal to one hundred percent of the fine imposed as an assessment.  This assessment must be paid to the clerk of court in the county in which the criminal judgment is rendered for remittance to the State Treasurer by the county treasurer.  The assessment is based upon that portion of the fine that is not suspended and assessments must not be waived, reduced, or suspended.
 (B) The county treasurer must remit thirty-eight percent of the revenue generated by the assessment imposed in subsection (A) to the county to be used for the purposes set forth in subsection (D) and remit the balance of the assessment revenue to the State Treasurer on a monthly basis by the fifteenth day of each month and make reports on a form and in a manner prescribed by the State Treasurer.  Assessments paid in installments must be remitted as received.
 (C) The State Treasurer shall deposit the assessments received as follows:
 (1) 47.17 percent for programs established pursuant to Chapter 21 of Title 24 and the Shock Incarceration Program as provided in Article 13, Chapter 13 of Title 24;
 (2) 16.52 percent to the Department of Public Safety program of training in the fields of law enforcement and criminal justice;
 (3) .5 percent to the Department of Public Safety to defray the cost of erecting and maintaining the South Carolina Law Enforcement Officers Hall of Fame.    When funds collected pursuant to this item exceed the necessary costs and expenses of the South Carolina Law Enforcement Officers Hall of Fame operation and maintenance as determined by the Department of Public Safety, the department may retain the surplus for use in its law enforcement training programs;
 (4) 16.21 percent to the Office of Indigent Defense for the defense of indigents;
 (5) 13.26 percent for the State Office of Victim Assistance;
 (6) 5.34 percent to the general fund;
 (7) 1.0 percent to the Attorney General's Office for a fund to provide support for counties involved in complex criminal litigation.  For the purposes of this item, 'complex criminal litigation' means criminal cases in which the State is seeking the death penalty and has served notice as required by law upon the defendant's counsel, and the county involved has expended more than two hundred fifty thousand dollars for a particular case in direct support of operating the court of general sessions and for prosecution related expenses.  The Attorney General shall develop guidelines for determining what expenses are reimbursable from the fund and shall approve all disbursements from the fund.  Funds must be paid to a county for all expenditures authorized for reimbursement under this item except for the first one hundred thousand dollars the county expended in satisfying the requirements for reimbursement from the fund;  however, money disbursed from this fund must be disbursed on a 'first received, first paid' basis.  When revenue in the fund reaches five hundred thousand dollars, all revenue in excess of five hundred thousand dollars must be credited to the general fund of the State.  Unexpended revenue in the fund at the end of the fiscal year carries over and may be expended in the next fiscal year.</t>
        </r>
        <r>
          <rPr>
            <b/>
            <sz val="8"/>
            <color indexed="81"/>
            <rFont val="Tahoma"/>
          </rPr>
          <t xml:space="preserve">
  </t>
        </r>
        <r>
          <rPr>
            <sz val="8"/>
            <color indexed="81"/>
            <rFont val="Tahoma"/>
          </rPr>
          <t xml:space="preserve">
</t>
        </r>
      </text>
    </comment>
    <comment ref="A55" authorId="0" shapeId="0">
      <text>
        <r>
          <rPr>
            <b/>
            <sz val="12"/>
            <color indexed="81"/>
            <rFont val="Tahoma"/>
            <family val="2"/>
          </rPr>
          <t xml:space="preserve">DUI and DUAC, $100.00 Pull-Out, Section 56-5-2940 
</t>
        </r>
        <r>
          <rPr>
            <sz val="12"/>
            <color indexed="81"/>
            <rFont val="Tahoma"/>
            <family val="2"/>
          </rPr>
          <t xml:space="preserve">
Section 56-5-2940 requires that $100.00 of each fine imposed pursuant to Sections 56-5-2930 (DUI) and 56-5-2933 (DUAC) must be forwarded to the State Treasurer and placed into a special restricted account to be used by the Department of Public Safety for the Highway Patrol.   The remainder of the fine shall be split pursuant to I.A.I. above, with 56% being retained by the county and 44% remitted to the state. This applies to first and subsequent offenses of those statutes.  These funds should be clearly designated in your monthly report to the County Treasurer and State Treasurer.  
</t>
        </r>
        <r>
          <rPr>
            <b/>
            <sz val="12"/>
            <color indexed="81"/>
            <rFont val="Tahoma"/>
            <family val="2"/>
          </rPr>
          <t xml:space="preserve">Felony DUI, $100.00 Pull-Out, Section 56-5-2945 (C)
</t>
        </r>
        <r>
          <rPr>
            <sz val="12"/>
            <color indexed="81"/>
            <rFont val="Tahoma"/>
            <family val="2"/>
          </rPr>
          <t xml:space="preserve">Section 56-5-2945 (C) requires that $100.00 of each fine imposed pursuant to a conviction under Section 56-5-2945 (C) be forwarded to the State Treasurer to be placed into a special restricted account to be used by the Department of Public Safety for the Highway Patrol.  The remainder of the fine shall be split pursuant to I.A.I. above, with 56% being retained by the county and 44% remitted to the state. These funds should be clearly designated in your monthly report to the County Treasurer and State Treasurer.  </t>
        </r>
        <r>
          <rPr>
            <sz val="12"/>
            <color indexed="10"/>
            <rFont val="Tahoma"/>
            <family val="2"/>
          </rPr>
          <t>Effective on all charges made on or after February 9, 2009 at 12 p.m., the $100.00 Felony DUI Pull-Out is no longer active and should not be deducted from the fine.</t>
        </r>
        <r>
          <rPr>
            <b/>
            <sz val="12"/>
            <color indexed="10"/>
            <rFont val="Tahoma"/>
            <family val="2"/>
          </rPr>
          <t xml:space="preserve"> </t>
        </r>
        <r>
          <rPr>
            <b/>
            <sz val="12"/>
            <color indexed="81"/>
            <rFont val="Tahoma"/>
            <family val="2"/>
          </rPr>
          <t xml:space="preserve"> </t>
        </r>
      </text>
    </comment>
    <comment ref="A56" authorId="0" shapeId="0">
      <text>
        <r>
          <rPr>
            <b/>
            <sz val="12"/>
            <color indexed="81"/>
            <rFont val="Tahoma"/>
            <family val="2"/>
          </rPr>
          <t xml:space="preserve">DUI and DUAC, $200.00 Pull-Out, Section 56-5-2940 </t>
        </r>
        <r>
          <rPr>
            <sz val="12"/>
            <color indexed="81"/>
            <rFont val="Tahoma"/>
            <family val="2"/>
          </rPr>
          <t xml:space="preserve">
Section 56-5-2940 requires that $200.00 of each fine imposed pursuant to a third offense violation of Sections 56-5-2930 (DUI) and 56-5-2933 (DUAC) must be forwarded to the State Treasurer and placed into a special restricted account to be used by the State Law Enforcement Division to offset the costs of administration of the Datamaster, breath testing sight video programs, ignition interlock provisions, and toxicology laboratory.  This deduction from the fine would be in addition to the $100.00 deduction discussed in I.B.1 above.  The remainder of the fine shall be split pursuant to I.A.I. above, with 56% being retained by the county and 44% remitted to the state. These funds should be clearly designated in your monthly report to the County Treasurer and State Treasurer.  </t>
        </r>
      </text>
    </comment>
    <comment ref="A57" authorId="1" shapeId="0">
      <text>
        <r>
          <rPr>
            <b/>
            <sz val="12"/>
            <color indexed="81"/>
            <rFont val="Arial"/>
            <family val="2"/>
          </rPr>
          <t xml:space="preserve">  12. Fees and Fines assessed by the Aeronautics Commission, Section 55-1-7
Effective June 18, 2012, Act No. 270 added Section 55-1-7 requires that 100% of</t>
        </r>
        <r>
          <rPr>
            <b/>
            <sz val="12"/>
            <color indexed="10"/>
            <rFont val="Arial"/>
            <family val="2"/>
          </rPr>
          <t xml:space="preserve"> all fees and fines collected from a violation contained in any Chapter of Title 55 of the South Carolina Code of Laws,</t>
        </r>
        <r>
          <rPr>
            <b/>
            <sz val="12"/>
            <color indexed="81"/>
            <rFont val="Arial"/>
            <family val="2"/>
          </rPr>
          <t xml:space="preserve"> relating to the criminal and civil enforcement provisions of the Aeronautics Commission, must be remitted to the State Treasurer to be deposited into the State Aviation Fund. These funds should be clearly noted on your report to the County Treasurer so that the proper amount of fines can be transmitted to the State Treasurer for disbursement into the State Aviation Fund. The assessments discussed in I.A.2., I.A.3., I.A.4., and I.A.5. above should be collected on criminal violations of Title 55, but not civil violations.</t>
        </r>
        <r>
          <rPr>
            <b/>
            <sz val="9"/>
            <color indexed="81"/>
            <rFont val="Tahoma"/>
            <family val="2"/>
          </rPr>
          <t xml:space="preserve">
</t>
        </r>
        <r>
          <rPr>
            <sz val="9"/>
            <color indexed="81"/>
            <rFont val="Tahoma"/>
            <family val="2"/>
          </rPr>
          <t xml:space="preserve">
</t>
        </r>
      </text>
    </comment>
    <comment ref="A58" authorId="1" shapeId="0">
      <text>
        <r>
          <rPr>
            <b/>
            <sz val="12"/>
            <color indexed="81"/>
            <rFont val="Arial"/>
            <family val="2"/>
          </rPr>
          <t xml:space="preserve">8.   a. Exception: Criminally Negligent Use of Firearms/Archery Tackle, Section 50-1-85
An exception to the general distribution of Title 50 offenses is found in Section 50-1-85, regarding Criminally Negligent Use of Firearms/Archery Tackle.  </t>
        </r>
        <r>
          <rPr>
            <b/>
            <sz val="12"/>
            <color indexed="10"/>
            <rFont val="Arial"/>
            <family val="2"/>
          </rPr>
          <t>That statute requires that 100% of all fines collected from a violation of the statute must be remitted to the State Treasurer to be deposited into the South Carolina Victim's Compensation Fund.</t>
        </r>
        <r>
          <rPr>
            <b/>
            <sz val="12"/>
            <color indexed="81"/>
            <rFont val="Arial"/>
            <family val="2"/>
          </rPr>
          <t xml:space="preserve"> These funds should be clearly noted on your report to the County Treasurer so that the proper amount of fines can be transmitted to the State Treasurer for disbursement into the Victim's Compensation Fund. The assessments discussed in I.A.2., I.A.3., I.A.4., and I.A.5. above should be collected on violations of Section 50-1-85 violations, and forwarded through your County Treasurer to the State Treasurer for distribution to the normal recipients.</t>
        </r>
        <r>
          <rPr>
            <b/>
            <sz val="9"/>
            <color indexed="81"/>
            <rFont val="Tahoma"/>
            <family val="2"/>
          </rPr>
          <t xml:space="preserve">
</t>
        </r>
        <r>
          <rPr>
            <sz val="9"/>
            <color indexed="81"/>
            <rFont val="Tahoma"/>
            <family val="2"/>
          </rPr>
          <t xml:space="preserve">
</t>
        </r>
      </text>
    </comment>
  </commentList>
</comments>
</file>

<file path=xl/comments2.xml><?xml version="1.0" encoding="utf-8"?>
<comments xmlns="http://schemas.openxmlformats.org/spreadsheetml/2006/main">
  <authors>
    <author>tleverette</author>
    <author>Leverette, Terry</author>
    <author>Leverette</author>
    <author>SCJD</author>
  </authors>
  <commentList>
    <comment ref="A4" authorId="0" shapeId="0">
      <text>
        <r>
          <rPr>
            <b/>
            <sz val="8"/>
            <color indexed="81"/>
            <rFont val="Tahoma"/>
          </rPr>
          <t>IF BOND ESTREATEMENT ENTER TOTAL BOND AMOUNT</t>
        </r>
        <r>
          <rPr>
            <sz val="8"/>
            <color indexed="81"/>
            <rFont val="Tahoma"/>
          </rPr>
          <t xml:space="preserve">
</t>
        </r>
      </text>
    </comment>
    <comment ref="F18" authorId="1" shapeId="0">
      <text>
        <r>
          <rPr>
            <b/>
            <sz val="14"/>
            <color indexed="81"/>
            <rFont val="Tahoma"/>
            <family val="2"/>
          </rPr>
          <t xml:space="preserve">
Littering Cigarett Components &lt; 15 LB  </t>
        </r>
        <r>
          <rPr>
            <b/>
            <sz val="14"/>
            <color indexed="10"/>
            <rFont val="Tahoma"/>
            <family val="2"/>
          </rPr>
          <t>2322</t>
        </r>
        <r>
          <rPr>
            <b/>
            <sz val="14"/>
            <color indexed="81"/>
            <rFont val="Tahoma"/>
            <family val="2"/>
          </rPr>
          <t xml:space="preserve">
Littering Area Not Intended for Deposit of Garnage  &lt; 15 LB  </t>
        </r>
        <r>
          <rPr>
            <b/>
            <sz val="14"/>
            <color indexed="10"/>
            <rFont val="Tahoma"/>
            <family val="2"/>
          </rPr>
          <t>3126</t>
        </r>
        <r>
          <rPr>
            <b/>
            <sz val="14"/>
            <color indexed="81"/>
            <rFont val="Tahoma"/>
            <family val="2"/>
          </rPr>
          <t xml:space="preserve">
Littering on Public or Private Property &gt;15 to &lt;500 lbs 1st </t>
        </r>
        <r>
          <rPr>
            <b/>
            <sz val="14"/>
            <color indexed="10"/>
            <rFont val="Tahoma"/>
            <family val="2"/>
          </rPr>
          <t>3907</t>
        </r>
        <r>
          <rPr>
            <b/>
            <sz val="14"/>
            <color indexed="81"/>
            <rFont val="Tahoma"/>
            <family val="2"/>
          </rPr>
          <t xml:space="preserve">
Littering on Public or Private Property &gt;15 to &lt;500 lbs 2st  </t>
        </r>
        <r>
          <rPr>
            <b/>
            <sz val="14"/>
            <color indexed="10"/>
            <rFont val="Tahoma"/>
            <family val="2"/>
          </rPr>
          <t>3908</t>
        </r>
        <r>
          <rPr>
            <b/>
            <sz val="14"/>
            <color indexed="81"/>
            <rFont val="Tahoma"/>
            <family val="2"/>
          </rPr>
          <t xml:space="preserve">
Littering on Public or Private Property &gt;15 to &lt;500 lbs 3st  </t>
        </r>
        <r>
          <rPr>
            <b/>
            <sz val="14"/>
            <color indexed="10"/>
            <rFont val="Tahoma"/>
            <family val="2"/>
          </rPr>
          <t>3909</t>
        </r>
        <r>
          <rPr>
            <b/>
            <sz val="14"/>
            <color indexed="81"/>
            <rFont val="Tahoma"/>
            <family val="2"/>
          </rPr>
          <t xml:space="preserve"> 
Littering on Public or Private Property &gt;500 lbs  </t>
        </r>
        <r>
          <rPr>
            <b/>
            <sz val="14"/>
            <color indexed="10"/>
            <rFont val="Tahoma"/>
            <family val="2"/>
          </rPr>
          <t>635  See Law **</t>
        </r>
      </text>
    </comment>
    <comment ref="J19" authorId="2" shapeId="0">
      <text>
        <r>
          <rPr>
            <b/>
            <sz val="12"/>
            <color indexed="81"/>
            <rFont val="Tahoma"/>
            <family val="2"/>
          </rPr>
          <t xml:space="preserve">Drug Court Surcharge, Section § 14-1-213 
</t>
        </r>
        <r>
          <rPr>
            <sz val="12"/>
            <color indexed="81"/>
            <rFont val="Tahoma"/>
            <family val="2"/>
          </rPr>
          <t xml:space="preserve">
In addition to all other assessments and surcharges required to be imposed by law, a one hundred dollar surcharge is imposed on all misdemeanor drug offense convictions in the magistrate court.  No portion of the surcharge may be waived, reduced, or suspended.  The revenue collected pursuant to this Section must be retained by the jurisdiction which heard or processed the case and paid to the State Treasurer within thirty days after receipt.  These funds should be clearly designated when transmitted to your County Treasurer and then forwarded to the State Treasurer.  </t>
        </r>
        <r>
          <rPr>
            <sz val="8"/>
            <color indexed="81"/>
            <rFont val="Tahoma"/>
            <family val="2"/>
          </rPr>
          <t xml:space="preserve">
</t>
        </r>
      </text>
    </comment>
    <comment ref="L19" authorId="2" shapeId="0">
      <text>
        <r>
          <rPr>
            <b/>
            <sz val="12"/>
            <color indexed="81"/>
            <rFont val="Tahoma"/>
            <family val="2"/>
          </rPr>
          <t xml:space="preserve">Drug Court Surcharge, Section § 14-1-213 
</t>
        </r>
        <r>
          <rPr>
            <sz val="12"/>
            <color indexed="81"/>
            <rFont val="Tahoma"/>
            <family val="2"/>
          </rPr>
          <t xml:space="preserve">
In addition to all other assessments and surcharges required to be imposed by law, a one hundred dollar surcharge is imposed on all misdemeanor drug offense convictions in the magistrate court.  No portion of the surcharge may be waived, reduced, or suspended.  The revenue collected pursuant to this Section must be retained by the jurisdiction which heard or processed the case and paid to the State Treasurer within thirty days after receipt.  These funds should be clearly designated when transmitted to your County Treasurer and then forwarded to the State Treasurer.  </t>
        </r>
        <r>
          <rPr>
            <sz val="8"/>
            <color indexed="81"/>
            <rFont val="Tahoma"/>
            <family val="2"/>
          </rPr>
          <t xml:space="preserve">
</t>
        </r>
      </text>
    </comment>
    <comment ref="P19" authorId="2" shapeId="0">
      <text>
        <r>
          <rPr>
            <b/>
            <sz val="12"/>
            <color indexed="81"/>
            <rFont val="Tahoma"/>
            <family val="2"/>
          </rPr>
          <t xml:space="preserve">Bond estreatments, Section 17-15-260
</t>
        </r>
        <r>
          <rPr>
            <sz val="12"/>
            <color indexed="81"/>
            <rFont val="Tahoma"/>
            <family val="2"/>
          </rPr>
          <t>Section 17-15-260 provides that the funds resulting from a bond estreatment are divided as follows: 25% to the state general fund, 25% to the solicitor's office, and 50% to the county general fund. If the case was originated by a municipality, the estreated funds are divided as follows: 25% to the state general fund, 25% to the solicitor's office, 25% to the county general fund, and 25% to the municipality. The state's portion should be turned over to the County Treasurer on a monthly basis for transmittal to the State Treasurer.</t>
        </r>
      </text>
    </comment>
    <comment ref="R19" authorId="2" shapeId="0">
      <text>
        <r>
          <rPr>
            <b/>
            <sz val="12"/>
            <color indexed="81"/>
            <rFont val="Tahoma"/>
            <family val="2"/>
          </rPr>
          <t xml:space="preserve">Bond estreatments, Section 17-15-260
</t>
        </r>
        <r>
          <rPr>
            <sz val="12"/>
            <color indexed="81"/>
            <rFont val="Tahoma"/>
            <family val="2"/>
          </rPr>
          <t xml:space="preserve">Section 38-55-560 requires that 100% of all criminal fines generated from violations of Section 38-55-170 or 540 must be transmitted to the Insurance Fraud Division of the Office of the Attorney General. The statute provides that SLED and the Attorney General divide these funds equally, and those two agencies have entered into a written agreement whereby the Attorney General receives the funds and then makes the proper distribution to SLED. These funds should be clearly noted on your report to the county so that the proper amount of funds can be transmitted to Byron R. Roberts, Director, Insurance Fraud Division, Office of the Attorney General, P. O. Box 11549, Columbia, South Carolina 29211. The assessment discussed in V.A.2., V.A.3., V.A.4., and V.A.5. should be collected on all criminal insurance fraud violations. See "Attachment I" for use in identifying these funds to the County Treasurer.
</t>
        </r>
      </text>
    </comment>
    <comment ref="T19" authorId="2" shapeId="0">
      <text>
        <r>
          <rPr>
            <b/>
            <sz val="12"/>
            <color indexed="10"/>
            <rFont val="Tahoma"/>
            <family val="2"/>
          </rPr>
          <t>§ 44-1-152.</t>
        </r>
        <r>
          <rPr>
            <b/>
            <sz val="12"/>
            <color indexed="81"/>
            <rFont val="Tahoma"/>
            <family val="2"/>
          </rPr>
          <t xml:space="preserve"> Disposition of revenues from fines and forfeitures for violation of shellfish laws.
 Notwithstanding any other provision of law, all revenue from any fine or any forfeiture of bond for any violation of any shellfish law or regulation provided by this title must be deposited monthly with the treasurer of the county in which the arrest for such violation was made. One-third of such revenue must be retained by the county treasurer to be used for the general operating needs of the county pursuant to the direction of the governing body of the county. Two-thirds of such revenue must be remitted quarterly to the state Department of Health and Environmental Control of which one-half is to be used in enforcing shellfish laws and regulations and one-half of such revenue must be remitted quarterly to the state's general fund. All monies derived from auction sales of confiscated equipment pursuant to &gt; Section 44-1-151 must be deposited, retained, remitted, and used in the same manner as provided in this section for all revenue derived from any fine or any violation of any shellfish law or regulation. A report of fines for forfeitures of bonds regarding shellfish violations must be sent to the state Department of Health and Environmental Control monthly by each magistrate and clerk of court in this State. A report of monies derived from auction of sales of confiscated equipment must be sent to the state Department of Health and Environmental Control monthly by each sheriff.</t>
        </r>
      </text>
    </comment>
    <comment ref="V19" authorId="2" shapeId="0">
      <text>
        <r>
          <rPr>
            <b/>
            <sz val="12"/>
            <color indexed="81"/>
            <rFont val="Tahoma"/>
            <family val="2"/>
          </rPr>
          <t xml:space="preserve">Game or fish law violations, Sections 50-9-910, 50-5-25, 50-21-160, 50-23-220, and 50-9-920
</t>
        </r>
        <r>
          <rPr>
            <sz val="12"/>
            <color indexed="81"/>
            <rFont val="Tahoma"/>
            <family val="2"/>
          </rPr>
          <t xml:space="preserve">
Section 50-9-910 requires that one hundred percent of all revenues from fines and forfeitures from violations of Chapters 1 through 16 of Title 50 (Fish, Game, and Wildlife), except for violations of marine resources laws, shall be transmitted to the County Treasurer monthly. The treasurer then transmits the funds to the Department of Natural Resources, Accounting Department by the 15th of each month to be credited to the County Game and Fish Fund in the county in which the offense occurred. The remittances shall be accompanied by a statement showing the name of all persons fined, the amount of each fine, the summons number and the court in which each fine was collected. 
 Section 50-5-25 provides for the distribution of all revenues from fines and forfeitures for violations of marine resource laws.  Similar to the distribution discussed in the paragraph immediately above, that section provides that one hundred percent of these fines shall be transmitted to the County Treasurer monthly, and then forwarded to the State Treasurer, to be credited to the Wildlife Department and deposited in the County Game and Fish Fund for the county in which the offense occurred by the 15th of each month</t>
        </r>
        <r>
          <rPr>
            <sz val="8"/>
            <color indexed="81"/>
            <rFont val="Tahoma"/>
            <family val="2"/>
          </rPr>
          <t xml:space="preserve">
</t>
        </r>
      </text>
    </comment>
    <comment ref="X19" authorId="2" shapeId="0">
      <text>
        <r>
          <rPr>
            <b/>
            <sz val="12"/>
            <color indexed="81"/>
            <rFont val="Tahoma"/>
            <family val="2"/>
          </rPr>
          <t xml:space="preserve">Boating Under the Influence Breath Test Fee, Section 50-21-114
</t>
        </r>
        <r>
          <rPr>
            <sz val="12"/>
            <color indexed="81"/>
            <rFont val="Tahoma"/>
            <family val="2"/>
          </rPr>
          <t xml:space="preserve">
Pursuant to Section 50-21-114, any individual convicted of, pleading guilty or nolo contendere to, or forfeiting bond for violating Section 50-21-112 (BUI) or 50-21-113 (BUI Per Se), and who was administered a breathalyzer examination at the time of arrest, must be assessed an additional fee of $50.00 at the time of sentencing.  This fee must be forwarded by the County Treasurer to the State Treasurer and credited to the General Fund of the State to defray any costs incurred by SLED and individuals and institutions attaining the samples </t>
        </r>
        <r>
          <rPr>
            <sz val="8"/>
            <color indexed="81"/>
            <rFont val="Tahoma"/>
          </rPr>
          <t xml:space="preserve">
</t>
        </r>
      </text>
    </comment>
    <comment ref="Z19" authorId="2" shapeId="0">
      <text>
        <r>
          <rPr>
            <sz val="12"/>
            <color indexed="81"/>
            <rFont val="Tahoma"/>
            <family val="2"/>
          </rPr>
          <t xml:space="preserve">Section 50-21-160 provides that 75% of all fine revenues generated pursuant to offenses contained within Chapter 21 of Title 50 shall be forwarded to the County Treasurer monthly, and sent to the Wildlife Department, Natural Resource Enforcement Division by the 15th of each month.  25% of those fines must be forwarded to the County Treasurer and retained by the County in which the fine is levied, and placed in the County General Fund.  
</t>
        </r>
      </text>
    </comment>
    <comment ref="AB19" authorId="2" shapeId="0">
      <text>
        <r>
          <rPr>
            <b/>
            <sz val="12"/>
            <color indexed="81"/>
            <rFont val="Tahoma"/>
            <family val="2"/>
          </rPr>
          <t>Axle weight and gross weight violations, Section 56-5-4160</t>
        </r>
        <r>
          <rPr>
            <sz val="12"/>
            <color indexed="81"/>
            <rFont val="Tahoma"/>
            <family val="2"/>
          </rPr>
          <t xml:space="preserve">
Section 56-5-4160 provides that all fines collected for violating the weight limits set by Section 56-5-4130 or Section 56-5-4140 must be deposited within 45 days in the account designated the "Size and Weight Revitalization Program Fund for Permanent Improvements". These funds should be clearly noted on your report to the County Treasurer so that the proper amount of fines can be transmitted to the State Transport Police at 10311 Wilson Boulevard, P.O. Box 1993, Blythewood, SC 29016. The assessment discussed in V.A.2., V.A.4., and V.A.5., but not V.A.3., above should be collected on weight violations.</t>
        </r>
      </text>
    </comment>
    <comment ref="AD19" authorId="2" shapeId="0">
      <text>
        <r>
          <rPr>
            <b/>
            <sz val="12"/>
            <color indexed="81"/>
            <rFont val="Tahoma"/>
            <family val="2"/>
          </rPr>
          <t xml:space="preserve">Carriers of household goods and hazardous waste for disposal, Section 58-23-590(E)
</t>
        </r>
        <r>
          <rPr>
            <sz val="12"/>
            <color indexed="81"/>
            <rFont val="Tahoma"/>
            <family val="2"/>
          </rPr>
          <t xml:space="preserve">
Section 58-23-590(E) requires that 75% of each fine generated from a violation of Section 58-23-40 be deposited with the Office of Compliance with the Public Service Commission. The county retains the remaining 25% of the fine. These funds should be clearly noted on your report to the County Treasurer so that the proper amount of fines can be transmitted to the Public Service Commission, Comptroller, Post Office Drawer 11649, Columbia, South Carolina 29211. The assessment discussed in V.A.2., V.A.3., V.A.4., and V.A.5. above should be collected on these violations.  </t>
        </r>
        <r>
          <rPr>
            <sz val="8"/>
            <color indexed="81"/>
            <rFont val="Tahoma"/>
            <family val="2"/>
          </rPr>
          <t xml:space="preserve">
</t>
        </r>
      </text>
    </comment>
    <comment ref="AJ19" authorId="2" shapeId="0">
      <text>
        <r>
          <rPr>
            <b/>
            <sz val="12"/>
            <color indexed="81"/>
            <rFont val="Tahoma"/>
            <family val="2"/>
          </rPr>
          <t xml:space="preserve">Surcharge on convictions of Sections 56-5-2930(DUI) and 56-5-2933(DUAC), Section 14-1-211(A)(2)
</t>
        </r>
        <r>
          <rPr>
            <sz val="12"/>
            <color indexed="81"/>
            <rFont val="Tahoma"/>
            <family val="2"/>
          </rPr>
          <t xml:space="preserve">
Section 14-1-211(A)(2) requires that a one hundred dollar surcharge be imposed on all convictions of Sections 56-5-2930(DUI) and 56-5-2933(DUAC). No portion of the surcharge may be waived, reduced, or suspended. These funds should be clearly designated when transmitted to your County Treasurer and then forwarded to the State Treasurer. The State Treasurer shall put these funds in a separate account to be used for spinal cord research at MUSC. </t>
        </r>
        <r>
          <rPr>
            <b/>
            <sz val="12"/>
            <color indexed="81"/>
            <rFont val="Tahoma"/>
            <family val="2"/>
          </rPr>
          <t xml:space="preserve">
DUI assessment, Section 56-5-2995(A)
</t>
        </r>
        <r>
          <rPr>
            <sz val="12"/>
            <color indexed="81"/>
            <rFont val="Tahoma"/>
            <family val="2"/>
          </rPr>
          <t>In addition to the assessment and surcharges discussed in V.A.2., V.A.3., V.A.4., V.A.5., and V.A.6. above, a twelve dollar assessment must be imposed for all convictions of Section 56-5-2930, DUI, or Section 56-5-2933, DUAC, obtained in magistrates court. These funds should be clearly designated and transferred to your County Treasurer for remittance to the State Treasurer for disbursal pursuant to Section 14-1-201.</t>
        </r>
        <r>
          <rPr>
            <b/>
            <sz val="12"/>
            <color indexed="81"/>
            <rFont val="Tahoma"/>
            <family val="2"/>
          </rPr>
          <t xml:space="preserve"> 
DUI and DUAC, $100.00 Pull-Out, Section 56-5-2940
</t>
        </r>
        <r>
          <rPr>
            <sz val="12"/>
            <color indexed="81"/>
            <rFont val="Tahoma"/>
            <family val="2"/>
          </rPr>
          <t xml:space="preserve">
Section 56-5-2940 requires that $100.00 of each fine imposed pursuant to Sections 56-5-2930 (DUI) and 56-5-2933 (DUAC) must be forwarded to the State Treasurer and placed into a special restricted account to be used by the Department of Public Safety for the Highway Patrol.   This applies to first and subsequent offenses of those statutes.  The remainder of the fine shall be retained by the jurisdiction that disposed of the case.  These funds should be clearly designated in your monthly report to the County Treasurer and State Treasurer 
</t>
        </r>
      </text>
    </comment>
    <comment ref="AL19" authorId="2" shapeId="0">
      <text>
        <r>
          <rPr>
            <b/>
            <sz val="12"/>
            <color indexed="81"/>
            <rFont val="Tahoma"/>
            <family val="2"/>
          </rPr>
          <t xml:space="preserve">Surcharge on convictions of Sections 56-5-2930(DUI) and 56-5-2933(DUAC), Section 14-1-211(A)(2)
</t>
        </r>
        <r>
          <rPr>
            <sz val="12"/>
            <color indexed="81"/>
            <rFont val="Tahoma"/>
            <family val="2"/>
          </rPr>
          <t xml:space="preserve">
Section 14-1-211(A)(2) requires that a one hundred dollar surcharge be imposed on all convictions of Sections 56-5-2930(DUI) and 56-5-2933(DUAC). No portion of the surcharge may be waived, reduced, or suspended. These funds should be clearly designated when transmitted to your County Treasurer and then forwarded to the State Treasurer. The State Treasurer shall put these funds in a separate account to be used for spinal cord research at MUSC. </t>
        </r>
        <r>
          <rPr>
            <b/>
            <sz val="12"/>
            <color indexed="81"/>
            <rFont val="Tahoma"/>
            <family val="2"/>
          </rPr>
          <t xml:space="preserve">
DUI assessment, Section 56-5-2995(A)
</t>
        </r>
        <r>
          <rPr>
            <sz val="12"/>
            <color indexed="81"/>
            <rFont val="Tahoma"/>
            <family val="2"/>
          </rPr>
          <t>In addition to the assessment and surcharges discussed in V.A.2., V.A.3., V.A.4., V.A.5., and V.A.6. above, a twelve dollar assessment must be imposed for all convictions of Section 56-5-2930, DUI, or Section 56-5-2933, DUAC, obtained in magistrates court. These funds should be clearly designated and transferred to your County Treasurer for remittance to the State Treasurer for disbursal pursuant to Section 14-1-201.</t>
        </r>
        <r>
          <rPr>
            <b/>
            <sz val="12"/>
            <color indexed="81"/>
            <rFont val="Tahoma"/>
            <family val="2"/>
          </rPr>
          <t xml:space="preserve"> 
DUI and DUAC, $100.00 Pull-Out, Section 56-5-2940
</t>
        </r>
        <r>
          <rPr>
            <sz val="12"/>
            <color indexed="81"/>
            <rFont val="Tahoma"/>
            <family val="2"/>
          </rPr>
          <t xml:space="preserve">
Section 56-5-2940 requires that $100.00 of each fine imposed pursuant to Sections 56-5-2930 (DUI) and 56-5-2933 (DUAC) must be forwarded to the State Treasurer and placed into a special restricted account to be used by the Department of Public Safety for the Highway Patrol.   This applies to first and subsequent offenses of those statutes.  The remainder of the fine shall be retained by the jurisdiction that disposed of the case.  These funds should be clearly designated in your monthly report to the County Treasurer and State Treasurer 
</t>
        </r>
      </text>
    </comment>
    <comment ref="AN19" authorId="2" shapeId="0">
      <text>
        <r>
          <rPr>
            <b/>
            <sz val="12"/>
            <color indexed="81"/>
            <rFont val="Tahoma"/>
            <family val="2"/>
          </rPr>
          <t xml:space="preserve">DUS, $100.00 Pull-Out, Section 56-1-460 (c)
</t>
        </r>
        <r>
          <rPr>
            <sz val="12"/>
            <color indexed="81"/>
            <rFont val="Tahoma"/>
            <family val="2"/>
          </rPr>
          <t xml:space="preserve">Section 56-1-460(C) as it relates to Driving under Suspension requires that $100.00 of each fine imposed pursuant to that section must be forwarded to the State Treasurer and placed into a special restricted account to be used by the Department of Public Safety for the Highway Patrol.   The remainder of the fine shall be shall be forwarded to the County Treasurer and placed in the County General Fund. This applies to first and subsequent offenses of those statutes.  These funds should be clearly designated in your monthly report to the County Treasurer and State Treasurer.  </t>
        </r>
        <r>
          <rPr>
            <b/>
            <sz val="12"/>
            <color indexed="81"/>
            <rFont val="Tahoma"/>
            <family val="2"/>
          </rPr>
          <t xml:space="preserve">
Exception, Section 12-37-2740, DUS for Failure to Pay Property Tax
</t>
        </r>
        <r>
          <rPr>
            <sz val="12"/>
            <color indexed="81"/>
            <rFont val="Tahoma"/>
            <family val="2"/>
          </rPr>
          <t>An exception to the rule requiring $100 of each driving under suspension fine be "pulled out" for the benefit of the  Department of Public Safety is found at Section 12-37-2740, Driving Under Suspension For Failure to Pay Property Taxes.  That section contains specific penalty provisions for such a violation which are separate and distinct from the penalties provided in Section 56-1-460.  When handling those cases, reference should be made to that statute for the penalty requirements, and the $100 "pull out" does not apply.</t>
        </r>
        <r>
          <rPr>
            <sz val="8"/>
            <color indexed="81"/>
            <rFont val="Tahoma"/>
          </rPr>
          <t xml:space="preserve">
</t>
        </r>
      </text>
    </comment>
    <comment ref="AP19" authorId="2" shapeId="0">
      <text>
        <r>
          <rPr>
            <b/>
            <sz val="12"/>
            <color indexed="81"/>
            <rFont val="Tahoma"/>
            <family val="2"/>
          </rPr>
          <t xml:space="preserve">Seatbelt, County Ordinance Parking Violations, Sections 56-5-6540 
</t>
        </r>
        <r>
          <rPr>
            <sz val="12"/>
            <color indexed="81"/>
            <rFont val="Tahoma"/>
            <family val="2"/>
          </rPr>
          <t xml:space="preserve">
Pursuant to Section 56-5-6540, no assessments or surcharges shall be added to mandatory seatbelt law violations.  Therefore, the assessments discussed in V.A.2., V.A.3., V.A.4., and V.A.5. above should not be collected on seatbelt or child restraint violations.  The offense requires a $25 fine for each violation, which should be forwarded to your county treasurer. Also, no assessments or surcharges should be added to county or municipal ordinances relating to any parking violations</t>
        </r>
        <r>
          <rPr>
            <sz val="8"/>
            <color indexed="81"/>
            <rFont val="Tahoma"/>
          </rPr>
          <t xml:space="preserve">
</t>
        </r>
      </text>
    </comment>
    <comment ref="AR19" authorId="2" shapeId="0">
      <text>
        <r>
          <rPr>
            <b/>
            <sz val="12"/>
            <color indexed="81"/>
            <rFont val="Tahoma"/>
            <family val="2"/>
          </rPr>
          <t xml:space="preserve">Administrative court costs in fraudulent check cases, Sections 34-11- 70(b) and (c), and 34-11-90(c) and (d)
</t>
        </r>
        <r>
          <rPr>
            <sz val="12"/>
            <color indexed="81"/>
            <rFont val="Tahoma"/>
            <family val="2"/>
          </rPr>
          <t xml:space="preserve">
In most fraudulent check cases, the court is entitled to collect reasonable administrative court costs not to exceed forty-one dollars. This amount is collected from the prosecuting witness if the court dismisses the case for want of prosecution, Section 34-11-70(b), or from the defendant if the court dismisses the case upon satisfactory proof of restitution, Section 34-11-70(c). If the case goes to trial and the defendant is convicted, the cost shall be collected, Section 34-11-90(d), even if the sentence is required to be suspended as provided in Section 34-11-90(c). 
Whenever there is a conviction, the assessment discussed in V.A.2., V.A.3., V.A.4., and V.A.5. above must be collected along with the fine and administrative court cost. If the fine was ultimately suspended, the assessment is computed and collected based on the amount of the fine that is not suspended. </t>
        </r>
        <r>
          <rPr>
            <b/>
            <sz val="8"/>
            <color indexed="81"/>
            <rFont val="Tahoma"/>
          </rPr>
          <t xml:space="preserve">
</t>
        </r>
      </text>
    </comment>
    <comment ref="AT19" authorId="2" shapeId="0">
      <text>
        <r>
          <rPr>
            <b/>
            <sz val="12"/>
            <color indexed="81"/>
            <rFont val="Tahoma"/>
            <family val="2"/>
          </rPr>
          <t xml:space="preserve">Administrative court costs in fraudulent check cases, Sections 34-11- 70(b) and (c), and 34-11-90(c) and (d)
In most fraudulent check cases, the court is entitled to collect reasonable administrative court costs not to exceed forty-one dollars. This amount is collected from the prosecuting witness if the court dismisses the case for want of prosecution, Section 34-11-70(b), or from the defendant if the court dismisses the case upon satisfactory proof of restitution, Section 34-11-70(c). If the case goes to trial and the defendant is convicted, the cost shall be collected, Section 34-11-90(d), even if the sentence is required to be suspended as provided in Section 34-11-90(c). 
Whenever there is a conviction, the assessment discussed in V.A.2., V.A.3., V.A.4., and V.A.5. above must be collected along with the fine and administrative court cost. If the fine was ultimately suspended, the assessment is computed and collected based on the amount of the fine that is not suspended. </t>
        </r>
        <r>
          <rPr>
            <sz val="8"/>
            <color indexed="81"/>
            <rFont val="Tahoma"/>
          </rPr>
          <t xml:space="preserve">
</t>
        </r>
      </text>
    </comment>
    <comment ref="AV19" authorId="2" shapeId="0">
      <text>
        <r>
          <rPr>
            <b/>
            <sz val="14"/>
            <color indexed="10"/>
            <rFont val="Tahoma"/>
            <family val="2"/>
          </rPr>
          <t>Civil Penalty with Assessments</t>
        </r>
      </text>
    </comment>
    <comment ref="AZ19" authorId="1" shapeId="0">
      <text>
        <r>
          <rPr>
            <b/>
            <sz val="12"/>
            <color indexed="81"/>
            <rFont val="Tahoma"/>
            <family val="2"/>
          </rPr>
          <t xml:space="preserve">8.   a. Exception: Criminally Negligent Use of Firearms/Archery Tackle, Section 50-1-85
</t>
        </r>
        <r>
          <rPr>
            <sz val="12"/>
            <color indexed="81"/>
            <rFont val="Tahoma"/>
            <family val="2"/>
          </rPr>
          <t>An exception to the general distribution of Title 50 offenses is found in Section 50-1-85, regarding Criminally Negligent Use of Firearms/Archery Tackle.  That statute requires that 100% of all fines collected from a violation of the statute must be remitted to the State Treasurer to be deposited into the South Carolina Victim's Compensation Fund. These funds should be clearly noted on your report to the County Treasurer so that the proper amount of fines can be transmitted to the State Treasurer for disbursement into the Victim's Compensation Fund. The assessments discussed in I.A.2., I.A.3., I.A.4., and I.A.5. above should be collected on violations of Section 50-1-85 violations, and forwarded through your County Treasurer to the State Treasurer for distribution to the normal recipients.</t>
        </r>
        <r>
          <rPr>
            <b/>
            <sz val="9"/>
            <color indexed="81"/>
            <rFont val="Tahoma"/>
            <family val="2"/>
          </rPr>
          <t xml:space="preserve">
</t>
        </r>
        <r>
          <rPr>
            <sz val="9"/>
            <color indexed="81"/>
            <rFont val="Tahoma"/>
            <family val="2"/>
          </rPr>
          <t xml:space="preserve">
</t>
        </r>
      </text>
    </comment>
    <comment ref="BB19" authorId="2" shapeId="0">
      <text>
        <r>
          <rPr>
            <b/>
            <sz val="12"/>
            <color indexed="10"/>
            <rFont val="Tahoma"/>
            <family val="2"/>
          </rPr>
          <t>Texting &amp; Driving §56-5-3890</t>
        </r>
        <r>
          <rPr>
            <b/>
            <sz val="12"/>
            <color indexed="81"/>
            <rFont val="Tahoma"/>
            <family val="2"/>
          </rPr>
          <t xml:space="preserve">
Please note during the first 180 days after the law’s effective date, law enforcement officers shall only issue warnings for violations of this section.  After 180 days has passed, a person who is adjudicated to be in violation of the law must be fined not more than $25, no part of which may be suspended.  No court costs, assessments, or surcharges may be assessed against a person who violates a provision of this section.  A person must not be fined more than $50 for any one incident of one or more violations of this law.  A custodial arrest for a violation of §56-5-3890 must not be made.  A violation of §56-5-3890 does not constitute a criminal offense. 
Pursuant to §56-5-3890(E), a law enforcement officer shall not stop a person for a violation of this section except when the officer has probable cause that a violation has occurred based on the officer’s clear and unobstructed view of a person who is using a wireless electronic communication device to compose, send, or read a text-based communication while operating a motor vehicle on the public streets and highways.  The officer shall not seize, search, view, or require the forfeiture of a wireless communication device based on a violation of this section.  Additionally, the officer shall not search or request to search a motor vehicle, driver, or passenger in a motor vehicle solely because of a violation of this section.  
§56-5-3890 preempts local ordinances, regulations, and resolutions adopted by municipalities, counties, or other local government entities regarding people using wireless electronic devices while operating motor vehicles on the public streets and highways. </t>
        </r>
      </text>
    </comment>
    <comment ref="BD19" authorId="1" shapeId="0">
      <text>
        <r>
          <rPr>
            <b/>
            <sz val="9"/>
            <color indexed="81"/>
            <rFont val="Tahoma"/>
            <charset val="1"/>
          </rPr>
          <t xml:space="preserve">Section 58-23-1680 Next.    (A)    A certified South Carolina law enforcement officer is authorized to enforce the requirements of this article. 
(B)    An officer, agent, or employee of a TNC or TNC driver who fails to comply with any requirement contained in this article must be assessed a civil penalty of not less than one hundred dollars for a first violation, not less than five hundred dollars for a second violation, and not less than one thousand dollars for a third violation and subsequent violations. Seventy-five percent of the penalties collected under this section must be remitted to the Office of Regulatory Staff to be used for enforcement operations. Magistrates have jurisdiction over contested violations of this section and are prohibited from suspending or reducing the penalties. 
</t>
        </r>
        <r>
          <rPr>
            <sz val="9"/>
            <color indexed="81"/>
            <rFont val="Tahoma"/>
            <charset val="1"/>
          </rPr>
          <t xml:space="preserve">
</t>
        </r>
      </text>
    </comment>
    <comment ref="BH19" authorId="1" shapeId="0">
      <text>
        <r>
          <rPr>
            <b/>
            <sz val="12"/>
            <color indexed="81"/>
            <rFont val="Times New Roman"/>
            <family val="1"/>
          </rPr>
          <t xml:space="preserve">(E)    A person who violates the provisions of this section </t>
        </r>
        <r>
          <rPr>
            <b/>
            <sz val="12"/>
            <color indexed="10"/>
            <rFont val="Times New Roman"/>
            <family val="1"/>
          </rPr>
          <t xml:space="preserve">must be fined twenty-five dollars, </t>
        </r>
        <r>
          <rPr>
            <b/>
            <sz val="12"/>
            <color indexed="81"/>
            <rFont val="Times New Roman"/>
            <family val="1"/>
          </rPr>
          <t xml:space="preserve">all or part of which may not be suspended. In addition no court costs, assessments, surcharges, or points may be assessed against the person or his driving record." </t>
        </r>
        <r>
          <rPr>
            <sz val="9"/>
            <color indexed="81"/>
            <rFont val="Tahoma"/>
            <family val="2"/>
          </rPr>
          <t xml:space="preserve">
</t>
        </r>
      </text>
    </comment>
    <comment ref="A28" authorId="2" shapeId="0">
      <text>
        <r>
          <rPr>
            <b/>
            <sz val="12"/>
            <color indexed="81"/>
            <rFont val="Tahoma"/>
            <family val="2"/>
          </rPr>
          <t>Payment of the fine and assessment by installments, Section 14-1-209(B) and 3% collection cost charge, Section 14-17-725</t>
        </r>
        <r>
          <rPr>
            <sz val="12"/>
            <color indexed="81"/>
            <rFont val="Tahoma"/>
            <family val="2"/>
          </rPr>
          <t xml:space="preserve">
When the fine and assessment are paid in installments, Section 47.11 of the Temporary Provisions of the General Appropriations Act suspends Section 14-1-209(B) for the fiscal year 2008 - 2009 and requires that 51.80722% of each installment be treated as a payment towards the assessment. The remaining 48.192771% is treated as a payment towards the fine. The assessment amount must further be divided, with 88.84 being transmitted to the state, and 11.16 being retained by the county for victims' services. Prior to making these computations, you must determine what other assessments may apply (conviction surcharge, DUI assessments, etc.). Those charges must be collected separately and not included in the percentage splits explained above. Funds collected as installments should not be held until full payment is received but must be remitted each month to the County Treasurer. To compensate for this slight shift in funds, the division of the final installment payment should be adjusted so that the portion collected as the assessment does not exceed the amount originally imposed.
When an individual pays the fine, assessment, or restitution through installments, Section 14-17-725 provides that the magistrate must collect an additional 3% of the installment payment as a collection cost charge. The collection cost is transmitted to the County Treasurer for deposit to the county general fund.</t>
        </r>
        <r>
          <rPr>
            <sz val="8"/>
            <color indexed="81"/>
            <rFont val="Tahoma"/>
          </rPr>
          <t xml:space="preserve">
</t>
        </r>
      </text>
    </comment>
    <comment ref="C28" authorId="2" shapeId="0">
      <text>
        <r>
          <rPr>
            <b/>
            <sz val="12"/>
            <color indexed="81"/>
            <rFont val="Tahoma"/>
            <family val="2"/>
          </rPr>
          <t xml:space="preserve">Payment of the fine and assessment by installments, Section 14-1-209(B) and 3% collection cost charge, Section 14-17-725
</t>
        </r>
        <r>
          <rPr>
            <sz val="12"/>
            <color indexed="81"/>
            <rFont val="Tahoma"/>
            <family val="2"/>
          </rPr>
          <t xml:space="preserve">
When the fine and assessment are paid in installments, Section 47.11 of the Temporary Provisions of the General Appropriations Act suspends Section 14-1-209(B) for the fiscal year 2008 - 2009 and requires that 51.80722% of each installment be treated as a payment towards the assessment. The remaining 48.192771% is treated as a payment towards the fine. The assessment amount must further be divided, with 88.84 being transmitted to the state, and 11.16 being retained by the county for victims' services. Prior to making these computations, you must determine what other assessments may apply (conviction surcharge, DUI assessments, etc.). Those charges must be collected separately and not included in the percentage splits explained above. Funds collected as installments should not be held until full payment is received but must be remitted each month to the County Treasurer. To compensate for this slight shift in funds, the division of the final installment payment should be adjusted so that the portion collected as the assessment does not exceed the amount originally imposed.
When an individual pays the fine, assessment, or restitution through installments, Section 14-17-725 provides that the magistrate must collect an additional 3% of the installment payment as a collection cost charge. The collection cost is transmitted to the County Treasurer for deposit to the county general fund.</t>
        </r>
        <r>
          <rPr>
            <sz val="8"/>
            <color indexed="81"/>
            <rFont val="Tahoma"/>
            <family val="2"/>
          </rPr>
          <t xml:space="preserve">
</t>
        </r>
      </text>
    </comment>
    <comment ref="Q28" authorId="2" shapeId="0">
      <text>
        <r>
          <rPr>
            <b/>
            <sz val="12"/>
            <color indexed="81"/>
            <rFont val="Tahoma"/>
            <family val="2"/>
          </rPr>
          <t xml:space="preserve">Payment of estreatment in installments, Section 38-53-70
</t>
        </r>
        <r>
          <rPr>
            <sz val="12"/>
            <color indexed="81"/>
            <rFont val="Tahoma"/>
            <family val="2"/>
          </rPr>
          <t>Section 38-53-70 provides that the court may allow the surety to pay an estreatment in installments for a period of up to six months. However, the surety must pay a handling fee to the court in an amount equal to 4% of the value of the bond. Per Order of the Chief Justice dated November 14, 2002, the 4% handling fee should be dispersed with the other monies estreated pursuant to V.A.3. above.</t>
        </r>
        <r>
          <rPr>
            <sz val="8"/>
            <color indexed="81"/>
            <rFont val="Tahoma"/>
          </rPr>
          <t xml:space="preserve">
</t>
        </r>
      </text>
    </comment>
    <comment ref="A29" authorId="2" shapeId="0">
      <text>
        <r>
          <rPr>
            <b/>
            <sz val="12"/>
            <color indexed="10"/>
            <rFont val="Tahoma"/>
            <family val="2"/>
          </rPr>
          <t>§ 14-1-211. General Sessions Court surcharge;  fund retention for crime victim services;  unused funds;  reports;  audits.</t>
        </r>
        <r>
          <rPr>
            <b/>
            <sz val="12"/>
            <color indexed="81"/>
            <rFont val="Tahoma"/>
            <family val="2"/>
          </rPr>
          <t xml:space="preserve">
 (A)(1) In addition to all other assessments and surcharges, a one hundred dollar surcharge is imposed on all convictions obtained in general sessions court and </t>
        </r>
        <r>
          <rPr>
            <b/>
            <sz val="12"/>
            <color indexed="10"/>
            <rFont val="Tahoma"/>
            <family val="2"/>
          </rPr>
          <t>a twenty-five dollar surcharge is imposed on all convictions obtained in magistrates and municipal courts in this State.</t>
        </r>
        <r>
          <rPr>
            <b/>
            <sz val="12"/>
            <color indexed="81"/>
            <rFont val="Tahoma"/>
            <family val="2"/>
          </rPr>
          <t xml:space="preserve">  The surcharge may not be imposed on convictions for misdemeanor traffic offenses including, but not limited to, violations of Sections 56-3-1970 </t>
        </r>
        <r>
          <rPr>
            <b/>
            <sz val="12"/>
            <color indexed="39"/>
            <rFont val="Tahoma"/>
            <family val="2"/>
          </rPr>
          <t>(Handicapped Parking)</t>
        </r>
        <r>
          <rPr>
            <b/>
            <sz val="12"/>
            <color indexed="81"/>
            <rFont val="Tahoma"/>
            <family val="2"/>
          </rPr>
          <t xml:space="preserve">  , 56-5-2510 </t>
        </r>
        <r>
          <rPr>
            <b/>
            <sz val="12"/>
            <color indexed="12"/>
            <rFont val="Tahoma"/>
            <family val="2"/>
          </rPr>
          <t>(Stopping, standing or parking outside of business)</t>
        </r>
        <r>
          <rPr>
            <b/>
            <sz val="12"/>
            <color indexed="81"/>
            <rFont val="Tahoma"/>
            <family val="2"/>
          </rPr>
          <t xml:space="preserve">  , and 56-5-2530 </t>
        </r>
        <r>
          <rPr>
            <b/>
            <sz val="12"/>
            <color indexed="12"/>
            <rFont val="Tahoma"/>
            <family val="2"/>
          </rPr>
          <t>(Stopping, standing or parking prohibited in specified places)</t>
        </r>
        <r>
          <rPr>
            <b/>
            <sz val="12"/>
            <color indexed="81"/>
            <rFont val="Tahoma"/>
            <family val="2"/>
          </rPr>
          <t xml:space="preserve">, or another state law, municipal ordinance, or county ordinance restricting parking in a prohibited zone or in a parking place clearly designated for handicapped persons.  However, the surcharge applies to all violations of Section 56-5-2930 </t>
        </r>
        <r>
          <rPr>
            <b/>
            <sz val="12"/>
            <color indexed="12"/>
            <rFont val="Tahoma"/>
            <family val="2"/>
          </rPr>
          <t>(DUI)</t>
        </r>
        <r>
          <rPr>
            <b/>
            <sz val="12"/>
            <color indexed="81"/>
            <rFont val="Tahoma"/>
            <family val="2"/>
          </rPr>
          <t xml:space="preserve"> and  Section 56-5-2933 </t>
        </r>
        <r>
          <rPr>
            <b/>
            <sz val="12"/>
            <color indexed="12"/>
            <rFont val="Tahoma"/>
            <family val="2"/>
          </rPr>
          <t>(DUAC)</t>
        </r>
        <r>
          <rPr>
            <b/>
            <sz val="12"/>
            <color indexed="81"/>
            <rFont val="Tahoma"/>
            <family val="2"/>
          </rPr>
          <t>.  No portion of the surcharge may be waived, reduced, or suspended.</t>
        </r>
      </text>
    </comment>
    <comment ref="A30" authorId="2" shapeId="0">
      <text>
        <r>
          <rPr>
            <b/>
            <sz val="12"/>
            <color indexed="10"/>
            <rFont val="Tahoma"/>
            <family val="2"/>
          </rPr>
          <t>4. Surcharge on all convictions, Law Enforcement Funding, Section 14-1-212</t>
        </r>
        <r>
          <rPr>
            <b/>
            <sz val="12"/>
            <color indexed="81"/>
            <rFont val="Tahoma"/>
            <family val="2"/>
          </rPr>
          <t xml:space="preserve">
In addition to all other assessments and surcharges, a twenty-five dollar surcharge is levied </t>
        </r>
        <r>
          <rPr>
            <b/>
            <sz val="12"/>
            <color indexed="12"/>
            <rFont val="Tahoma"/>
            <family val="2"/>
          </rPr>
          <t xml:space="preserve">on all fines, forfeitures, escheatments, or other monetary penalties imposed in magistrates court for misdemeanor traffic offenses or non-traffic (criminal) convictions, including county ordinances. </t>
        </r>
        <r>
          <rPr>
            <b/>
            <sz val="12"/>
            <color indexed="81"/>
            <rFont val="Tahoma"/>
            <family val="2"/>
          </rPr>
          <t xml:space="preserve"> No portion of the surcharge may be waived, reduced, or suspended.  The surcharge does not apply to state or local laws regulating parking.  Therefore, the $25.00 surcharge should not be added to fines resulting from a conviction of any parking regulations.  
The revenue collected from the surcharge must be retained by the jurisdiction which heard or processed the case and paid to the State Treasurer within thirty days after receipt.  These funds should be clearly designated when transmitted to your County Treasurer and then forwarded to the State Treasurer.  
</t>
        </r>
        <r>
          <rPr>
            <sz val="8"/>
            <color indexed="81"/>
            <rFont val="Tahoma"/>
          </rPr>
          <t xml:space="preserve">
</t>
        </r>
      </text>
    </comment>
    <comment ref="A31" authorId="2" shapeId="0">
      <text>
        <r>
          <rPr>
            <b/>
            <sz val="12"/>
            <color indexed="12"/>
            <rFont val="Tahoma"/>
            <family val="2"/>
          </rPr>
          <t>Surcharge on convictions of Sections 56-5-2930 (DUI) and 56-5-2933 (DUAC), Section 14-1-211(A)(2)</t>
        </r>
        <r>
          <rPr>
            <b/>
            <sz val="12"/>
            <color indexed="81"/>
            <rFont val="Tahoma"/>
            <family val="2"/>
          </rPr>
          <t xml:space="preserve">
</t>
        </r>
        <r>
          <rPr>
            <sz val="12"/>
            <color indexed="81"/>
            <rFont val="Tahoma"/>
            <family val="2"/>
          </rPr>
          <t xml:space="preserve">Section 14-1-211(A)(2) requires that a one hundred dollar surcharge </t>
        </r>
        <r>
          <rPr>
            <sz val="12"/>
            <color indexed="12"/>
            <rFont val="Tahoma"/>
            <family val="2"/>
          </rPr>
          <t>be imposed on all convictions of Sections 56-5-2930(DUI) and 56-5-2933(DUAC)</t>
        </r>
        <r>
          <rPr>
            <sz val="12"/>
            <color indexed="81"/>
            <rFont val="Tahoma"/>
            <family val="2"/>
          </rPr>
          <t xml:space="preserve">. No portion of the surcharge may be waived, reduced, or suspended. These funds should be clearly designated when transmitted to your County Treasurer and then forwarded to the State Treasurer. The State Treasurer shall put these funds in a separate account to be used for spinal cord research at MUSC. </t>
        </r>
        <r>
          <rPr>
            <sz val="8"/>
            <color indexed="81"/>
            <rFont val="Tahoma"/>
            <family val="2"/>
          </rPr>
          <t xml:space="preserve">
</t>
        </r>
      </text>
    </comment>
    <comment ref="A32" authorId="2" shapeId="0">
      <text>
        <r>
          <rPr>
            <b/>
            <sz val="12"/>
            <color indexed="10"/>
            <rFont val="Tahoma"/>
            <family val="2"/>
          </rPr>
          <t>DUI assessment, Section 56-5-2995(A)</t>
        </r>
        <r>
          <rPr>
            <b/>
            <sz val="12"/>
            <color indexed="81"/>
            <rFont val="Tahoma"/>
            <family val="2"/>
          </rPr>
          <t xml:space="preserve">
</t>
        </r>
        <r>
          <rPr>
            <sz val="12"/>
            <color indexed="81"/>
            <rFont val="Tahoma"/>
            <family val="2"/>
          </rPr>
          <t xml:space="preserve">In addition to the assessment and surcharges discussed in V.A.2., V.A.3., V.A.4., V.A.5., and V.A.6. above, a </t>
        </r>
        <r>
          <rPr>
            <sz val="12"/>
            <color indexed="12"/>
            <rFont val="Tahoma"/>
            <family val="2"/>
          </rPr>
          <t>twelve dollar assessment must be imposed for all convictions of Section 56-5-2930, DUI, or Section 56-5-2933, DUAC</t>
        </r>
        <r>
          <rPr>
            <sz val="12"/>
            <color indexed="81"/>
            <rFont val="Tahoma"/>
            <family val="2"/>
          </rPr>
          <t xml:space="preserve">, obtained in magistrates court. These funds should be clearly designated and transferred to your County Treasurer for remittance to the State Treasurer for disbursal pursuant to Section 14-1-201. </t>
        </r>
        <r>
          <rPr>
            <sz val="8"/>
            <color indexed="81"/>
            <rFont val="Tahoma"/>
          </rPr>
          <t xml:space="preserve">
</t>
        </r>
      </text>
    </comment>
    <comment ref="A33" authorId="2" shapeId="0">
      <text>
        <r>
          <rPr>
            <b/>
            <sz val="12"/>
            <color indexed="10"/>
            <rFont val="Tahoma"/>
            <family val="2"/>
          </rPr>
          <t xml:space="preserve">  8. Drug Court Surcharge, Section 14-1-213</t>
        </r>
        <r>
          <rPr>
            <b/>
            <sz val="12"/>
            <color indexed="81"/>
            <rFont val="Tahoma"/>
            <family val="2"/>
          </rPr>
          <t xml:space="preserve">
</t>
        </r>
        <r>
          <rPr>
            <sz val="12"/>
            <color indexed="81"/>
            <rFont val="Tahoma"/>
            <family val="2"/>
          </rPr>
          <t xml:space="preserve"> (A) In addition to all other assessments and surcharges required to be imposed by law, a one hundred fifty dollar surcharge is also levied on all fines, forfeitures, escheatments, or other monetary penalties imposed in general sessions court or in magistrates or municipal court for misdemeanor or felony drug offenses.  No portion of the surcharge may be waived, reduced, or suspended.
 (B) The revenue collected pursuant to subsection (A) must be retained by the jurisdiction that heard or processed the case and paid to the State Treasurer within thirty days of receipt.  The State Treasurer shall transmit these funds to the Prosecution Coordination Commission which shall then apportion these funds among the sixteen judicial circuits on a per capita basis equal to the population in that circuit compared to the population of the State as a whole based on the most recent official United States census.  The funds must be used for drug treatment court programs only.
 (C) It is the intent of the General Assembly that the amounts generated by this section are in addition to any amounts presently being provided for drug treatment court programs and may not be used to supplant funding already allocated for these services.
 (D) The State Treasurer may request the State Auditor to examine the financial records of a jurisdiction which he believes is not timely transmitting the funds required to be paid to the State Treasurer pursuant to subsection (B). The State Auditor is further authorized to conduct these examinations and the local jurisdiction is required to participate in and cooperate fully with the examination.</t>
        </r>
      </text>
    </comment>
    <comment ref="A34" authorId="2" shapeId="0">
      <text>
        <r>
          <rPr>
            <b/>
            <sz val="12"/>
            <color indexed="81"/>
            <rFont val="Tahoma"/>
            <family val="2"/>
          </rPr>
          <t xml:space="preserve">Boating Under the Influence Breath Test Fee, Section 50-21-114
</t>
        </r>
        <r>
          <rPr>
            <sz val="12"/>
            <color indexed="81"/>
            <rFont val="Tahoma"/>
            <family val="2"/>
          </rPr>
          <t xml:space="preserve">Pursuant to Section 50-21-114, any individual convicted of, pleading guilty or nolo contendere to, or forfeiting bond for violating Section 50-21-112 (BUI) or 50-21-113 (BUI Per Se), and who was administered a breathalyzer examination at the time of arrest, must be assessed an additional fee of $50.00 at the time of sentencing.  This fee must be forwarded by the County Treasurer to the State Treasurer and credited to the General Fund of the State to defray any costs incurred by SLED and individuals and institutions attaining the samples forwarded to SLED.  </t>
        </r>
        <r>
          <rPr>
            <sz val="8"/>
            <color indexed="81"/>
            <rFont val="Tahoma"/>
          </rPr>
          <t xml:space="preserve">
</t>
        </r>
      </text>
    </comment>
    <comment ref="A35" authorId="2" shapeId="0">
      <text>
        <r>
          <rPr>
            <b/>
            <sz val="12"/>
            <color indexed="81"/>
            <rFont val="Tahoma"/>
            <family val="2"/>
          </rPr>
          <t xml:space="preserve">DUI, DUAC Breath Test Fee, Section 56-5-2950(E)                                                                         </t>
        </r>
        <r>
          <rPr>
            <sz val="12"/>
            <color indexed="81"/>
            <rFont val="Tahoma"/>
            <family val="2"/>
          </rPr>
          <t xml:space="preserve">
Section 56-5-2950(E) requires that any individual convicted of, pleading guilty or nolo contendere to, or forfeiting bond for violating Section 56-5-2930 (DUI) or 56-5-2933 (DUAC), and who was administered a breathalyzer examination at the time of arrest, must be assessed an additional fee of $25.00 at the time of sentencing.  This fee must be forwarded to the County Treasurer and to the State Treasurer, and placed by the Comptroller General into a special account to be used by SLED to offset the costs of administration of the breath testing devices, breath testing site video program, and toxicology laboratory.  </t>
        </r>
        <r>
          <rPr>
            <b/>
            <sz val="12"/>
            <color indexed="10"/>
            <rFont val="Tahoma"/>
            <family val="2"/>
          </rPr>
          <t xml:space="preserve">The $25.00 breathalyzer fee applies only to those charges made on or after February 10, 2009, at 12:00 p.m. </t>
        </r>
        <r>
          <rPr>
            <b/>
            <sz val="12"/>
            <color indexed="81"/>
            <rFont val="Tahoma"/>
            <family val="2"/>
          </rPr>
          <t xml:space="preserve"> </t>
        </r>
      </text>
    </comment>
    <comment ref="AL35" authorId="2" shapeId="0">
      <text>
        <r>
          <rPr>
            <b/>
            <sz val="12"/>
            <color indexed="81"/>
            <rFont val="Tahoma"/>
            <family val="2"/>
          </rPr>
          <t xml:space="preserve">DUI, DUAC Breath Test Fee, Section 56-5-2950(E
</t>
        </r>
        <r>
          <rPr>
            <sz val="12"/>
            <color indexed="81"/>
            <rFont val="Tahoma"/>
            <family val="2"/>
          </rPr>
          <t xml:space="preserve">
Section 56-5-2950(E) requires that any individual convicted of, pleading guilty or nolo contendere to, or forfeiting bond for violating Section 56-5-2930 (DUI) or 56-5-2933 (DUAC), and who was administered a breathalyzer examination at the time of arrest, must be assessed an additional fee of $25.00 at the time of sentencing.  This fee must be forwarded to the County Treasurer and to the State Treasurer, and placed by the Comptroller General into a special account to be used by SLED to offset the costs of administration of the breath testing devices, breath testing site video program, and toxicology laboratory.  </t>
        </r>
        <r>
          <rPr>
            <b/>
            <sz val="12"/>
            <color indexed="10"/>
            <rFont val="Tahoma"/>
            <family val="2"/>
          </rPr>
          <t>The $25.00 breathalyzer fee applies only to those charges made on or after February 10, 2009, at 12:00 p.m</t>
        </r>
        <r>
          <rPr>
            <sz val="8"/>
            <color indexed="81"/>
            <rFont val="Tahoma"/>
          </rPr>
          <t xml:space="preserve">
</t>
        </r>
      </text>
    </comment>
    <comment ref="A36" authorId="2" shapeId="0">
      <text>
        <r>
          <rPr>
            <b/>
            <sz val="12"/>
            <color indexed="81"/>
            <rFont val="Tahoma"/>
            <family val="2"/>
          </rPr>
          <t xml:space="preserve">Administrative court costs in fraudulent check cases, Sections 34-11- 70(b) and (c), and 34-11-90(c) and (d)
</t>
        </r>
        <r>
          <rPr>
            <sz val="12"/>
            <color indexed="81"/>
            <rFont val="Tahoma"/>
            <family val="2"/>
          </rPr>
          <t>In most fraudulent check cases, the court is entitled to collect reasonable administrative court costs not to exceed forty-one dollars. This amount is collected from the prosecuting witness if the court dismisses the case for want of prosecution, Section 34-11-70(b), or from the defendant if the court dismisses the case upon satisfactory proof of restitution, Section 34-11-70(c). If the case goes to trial and the defendant is convicted, the cost shall be collected, Section 34-11-90(d), even if the sentence is required to be suspended as provided in Section 34-11-90(c). 
Whenever there is a conviction, the assessment discussed in V.A.2., V.A.3., V.A.4., and V.A.5. above must be collected along with the fine and administrative court cost. If the fine was ultimately suspended, the assessment is computed and collected based on the amount of the fine that is not suspended.</t>
        </r>
        <r>
          <rPr>
            <b/>
            <sz val="12"/>
            <color indexed="81"/>
            <rFont val="Tahoma"/>
            <family val="2"/>
          </rPr>
          <t xml:space="preserve"> </t>
        </r>
        <r>
          <rPr>
            <b/>
            <sz val="8"/>
            <color indexed="81"/>
            <rFont val="Tahoma"/>
          </rPr>
          <t xml:space="preserve">
</t>
        </r>
        <r>
          <rPr>
            <sz val="8"/>
            <color indexed="81"/>
            <rFont val="Tahoma"/>
          </rPr>
          <t xml:space="preserve">
</t>
        </r>
      </text>
    </comment>
    <comment ref="A37" authorId="3" shapeId="0">
      <text>
        <r>
          <rPr>
            <b/>
            <sz val="11"/>
            <color indexed="10"/>
            <rFont val="Tahoma"/>
            <family val="2"/>
          </rPr>
          <t>13.  Conditional Discharge fee, Section 44-53-450(C)</t>
        </r>
        <r>
          <rPr>
            <b/>
            <sz val="11"/>
            <color indexed="81"/>
            <rFont val="Tahoma"/>
            <family val="2"/>
          </rPr>
          <t xml:space="preserve">
Before a person may be discharged and proceedings dismissed in a Municipal court as a result of the successful completion of a </t>
        </r>
        <r>
          <rPr>
            <b/>
            <sz val="11"/>
            <color indexed="12"/>
            <rFont val="Tahoma"/>
            <family val="2"/>
          </rPr>
          <t>conditional discharge as defined in 44-53-450, the person must pay a fee of one hundred fifty dollars</t>
        </r>
        <r>
          <rPr>
            <b/>
            <sz val="11"/>
            <color indexed="81"/>
            <rFont val="Tahoma"/>
            <family val="2"/>
          </rPr>
          <t>.  No portion of the fee may be waived, reduced, or suspended, except in the case of indigency.  If the court determines that a person is indigent, the court may partially or totally waive, reduce, or suspend the fee.
The revenue collected pursuant to this subsection must be retained by the jurisdiction that heard or processed the case and paid to the State Treasurer within thirty days of receipt, who shall forward the funds to the Prosecution Coordination Commission.  The State Treasurer may request the State Auditor to examine the financial records of a jurisdiction which he believes is not timely transmitting the funds required to be paid to the State Treasurer pursuant to this subsection.  The State Auditor is further authorized to conduct these examinations and the local jurisdiction is required to participate in and cooperate fully with the examination.</t>
        </r>
      </text>
    </comment>
    <comment ref="A40" authorId="2" shapeId="0">
      <text>
        <r>
          <rPr>
            <b/>
            <sz val="12"/>
            <color indexed="81"/>
            <rFont val="Tahoma"/>
            <family val="2"/>
          </rPr>
          <t xml:space="preserve">Assessment, Section 14-1-207
</t>
        </r>
        <r>
          <rPr>
            <sz val="12"/>
            <color indexed="81"/>
            <rFont val="Tahoma"/>
            <family val="2"/>
          </rPr>
          <t xml:space="preserve">Section 47.11 of the Temporary Provisions of the General Appropriations Act, which suspends Section 14-1-207 for the fiscal year 2008 - 2009, requires any person who is convicted, pleads guilty or nolo contendere to, or forfeits bond for an offense tried in magistrates court to pay an assessment in an amount equal to 107.5% of the fine actually imposed. If a portion of the fine is suspended, the assessment is calculated on the amount of the fine that is not suspended.  This assessment applies to county ordinances also.  The assessment cannot be waived, reduced, or suspended. The assessment may not be imposed on convictions for violations of Sections 56-3-1970, 56-5-2510, and 56-5-2530, or another State law, municipal ordinance, or county ordinance restricting parking in a prohibited zone or in a parking place clearly designated for handicapped persons. </t>
        </r>
        <r>
          <rPr>
            <b/>
            <sz val="12"/>
            <color indexed="81"/>
            <rFont val="Tahoma"/>
            <family val="2"/>
          </rPr>
          <t xml:space="preserve"> </t>
        </r>
        <r>
          <rPr>
            <sz val="12"/>
            <color indexed="81"/>
            <rFont val="Tahoma"/>
            <family val="2"/>
          </rPr>
          <t xml:space="preserve">
</t>
        </r>
        <r>
          <rPr>
            <sz val="8"/>
            <color indexed="81"/>
            <rFont val="Tahoma"/>
          </rPr>
          <t xml:space="preserve">
</t>
        </r>
      </text>
    </comment>
    <comment ref="A41" authorId="2" shapeId="0">
      <text>
        <r>
          <rPr>
            <b/>
            <u/>
            <sz val="12"/>
            <color indexed="10"/>
            <rFont val="Tahoma"/>
            <family val="2"/>
          </rPr>
          <t>The 11.16% retained by the county must be used exclusively for providing victim services</t>
        </r>
        <r>
          <rPr>
            <sz val="12"/>
            <color indexed="81"/>
            <rFont val="Tahoma"/>
            <family val="2"/>
          </rPr>
          <t xml:space="preserve"> as required by Article 15 of Title 16; specifically, those service requirements that are imposed on local law enforcement, local detention facilities, prosecutors, and the summary courts. First priority must be given to those victims' assistance programs which are required by Article 15 of Title 16 and second priority must be given to programs which expand victims' services beyond those required by Article 15 of Title 16. Any funds retained by the County Treasurer which are not used for victim services at the end of the fiscal year must be carried forward to the next year and used exclusively for services for victims of crimes. All unused funds must be separately identified in the counties adopted budget as funds unused and carried forward from previous years. </t>
        </r>
        <r>
          <rPr>
            <sz val="8"/>
            <color indexed="81"/>
            <rFont val="Tahoma"/>
          </rPr>
          <t xml:space="preserve">
</t>
        </r>
      </text>
    </comment>
    <comment ref="A42" authorId="2" shapeId="0">
      <text>
        <r>
          <rPr>
            <sz val="10"/>
            <color indexed="81"/>
            <rFont val="Tahoma"/>
            <family val="2"/>
          </rPr>
          <t xml:space="preserve">The amount collected as assessments must be forwarded each month to the County Treasurer, who shall retain 11.16% of the revenue generated by the assessment for the county, and transmit the remaining </t>
        </r>
        <r>
          <rPr>
            <u/>
            <sz val="10"/>
            <color indexed="10"/>
            <rFont val="Tahoma"/>
            <family val="2"/>
          </rPr>
          <t>88.84% by the fifteenth of each month to the State Treasurer on</t>
        </r>
        <r>
          <rPr>
            <sz val="10"/>
            <color indexed="81"/>
            <rFont val="Tahoma"/>
            <family val="2"/>
          </rPr>
          <t xml:space="preserve"> forms and in a manner prescribed by him. 
§ 14-1-207. Additional assessment, magistrate's court;  remittance;  disposition;  annual audits.
  (A) Beginning January 1, 1995, and continuously after that date, a person who is convicted of, pleads guilty or nolo contendere to, or forfeits bond for an offense tried in magistrate's court must pay an amount equal to 100 percent of the fine imposed as an assessment.  This assessment must be paid to the magistrate and deposited as required by &gt; Section 22-1-70 in the county in which the criminal judgment is rendered for remittance to the State Treasurer by the county treasurer.  The assessment is based upon that portion of the fine that is not suspended and assessments must not be waived, reduced, or suspended.
 (B) The county treasurer must remit 12 percent of the revenue generated by the assessment imposed in subsection (A) to the county to be used for the purposes set forth in subsection (D) and remit the balance of the assessment revenue to the State Treasurer on a monthly basis by the fifteenth day of each month and make reports on a form and in a manner prescribed by the State Treasurer.  Assessments paid in installments must be remitted as received.
 (C) The State Treasurer shall deposit the assessments as follows:
 (1) 35.12 percent for programs established pursuant to Chapter 21 of Title 24 and the Shock Incarceration Program as provided in Article 13, Chapter 13 of Title 24;
 (2) 22.49 percent to the Department of Public Safety program of training in the fields of law enforcement and criminal justice;
 (3) .65 percent to the Department of Public Safety to defray the cost of erecting and maintaining the South Carolina Law Enforcement Officers Hall of Fame.    When funds collected pursuant to this item exceed the necessary costs and expenses of the South Carolina Law Enforcement Officers Hall of Fame operation and maintenance as determined by the Department of Public Safety, the department may retain the surplus for use in its law enforcement training programs;
 (4) 20.42 percent for the State Office of Victim Assistance;
 (5) 8.94 percent to the general fund;
 (6) 11.38 percent to the Office of Indigent Defense for the defense of indigents;
 (7) 1.0 percent to the Attorney General's Office for a fund to provide support for counties involved in complex criminal litigation.  For the purposes of this item, 'complex criminal litigation' means criminal cases in which the State is seeking the death penalty and has served notice as required by law upon the defendant's counsel and the county involved has expended more than two hundred fifty thousand dollars for a particular case in direct support of operating the court of general sessions and for prosecution related expenses.  The Attorney General shall develop guidelines for determining what expenses are reimbursable from the fund and shall approve all disbursements from the fund.  Funds must be paid to a county for all expenditures authorized for reimbursement under this item except for the first one hundred thousand dollars the county expended in satisfying the requirements for reimbursement from the fund;  however, money disbursed from this fund must be disbursed on a 'first received, first paid' basis.  When revenue in the fund reaches five hundred thousand dollars, all revenue in excess of five hundred thousand dollars must be credited to the general fund of the State.  Unexpended revenue in the fund at the end of the fiscal year carries over and may be expended in the next fiscal year.</t>
        </r>
      </text>
    </comment>
    <comment ref="A46" authorId="2" shapeId="0">
      <text>
        <r>
          <rPr>
            <b/>
            <sz val="12"/>
            <color indexed="81"/>
            <rFont val="Tahoma"/>
            <family val="2"/>
          </rPr>
          <t xml:space="preserve">Magistrates' criminal fines, penalties or forfeitures, Section 22-1-90
</t>
        </r>
        <r>
          <rPr>
            <sz val="12"/>
            <color indexed="81"/>
            <rFont val="Tahoma"/>
            <family val="2"/>
          </rPr>
          <t xml:space="preserve">Generally, the revenue generated from criminal fines, penalties, and forfeitures in magistrates court is retained by the county. However, you may routinely encounter twelve exceptions to this rule. These exceptions, which are discussed below, are DUI and DUAC, Section 56-5-2940; DUS, Section 56-1-460; bond estreatments, Section 17-15-260; insurance fraud, Section 38-55-560; cruelty to animals, Section 47-1-160; game or fish law violations, Sections 50-1-150 and 170; size and weight violations, Section 56-5-4160; carriers of household goods and hazardous waste for disposal, Section 58-23-590; tattooing regulation violations, Section 44-34-100(G); Seatbelt, County Ordinance Parking Violations, Section  56-5-6540; Littering, Section 16-11-700; and cases transferred from general sessions court, Section 22-3-545.
Magistrates and are required to turn over to the County Treasurer all criminal fines, penalties or forfeitures, collected during the preceding month, on the first Wednesday or within ten days thereafter, during each successive month. Likewise, a full and accurate statement of all criminal monies collected must also be furnished to the county auditor.  Please see Proviso 72.75 in the cover memoranda concerning possible action by the State Auditor for failure to timely transmit court generated revenues.  </t>
        </r>
        <r>
          <rPr>
            <sz val="8"/>
            <color indexed="81"/>
            <rFont val="Tahoma"/>
            <family val="2"/>
          </rPr>
          <t xml:space="preserve">
</t>
        </r>
      </text>
    </comment>
    <comment ref="A47" authorId="2" shapeId="0">
      <text>
        <r>
          <rPr>
            <b/>
            <sz val="12"/>
            <color indexed="81"/>
            <rFont val="Tahoma"/>
            <family val="2"/>
          </rPr>
          <t xml:space="preserve">Magistrates' criminal fines, penalties or forfeitures, Section 22-1-90
</t>
        </r>
        <r>
          <rPr>
            <sz val="12"/>
            <color indexed="81"/>
            <rFont val="Tahoma"/>
            <family val="2"/>
          </rPr>
          <t xml:space="preserve">Generally, the revenue generated from criminal fines, penalties, and forfeitures in magistrates court is retained by the county. However, you may routinely encounter twelve exceptions to this rule. These exceptions, which are discussed below, are DUI and DUAC, Section 56-5-2940; DUS, Section 56-1-460; bond estreatments, Section 17-15-260; insurance fraud, Section 38-55-560; cruelty to animals, Section 47-1-160; game or fish law violations, Sections 50-1-150 and 170; size and weight violations, Section 56-5-4160; carriers of household goods and hazardous waste for disposal, Section 58-23-590; tattooing regulation violations, Section 44-34-100(G); Seatbelt, County Ordinance Parking Violations, Section  56-5-6540; Littering, Section 16-11-700; and cases transferred from general sessions court, Section 22-3-545.
Magistrates and are required to turn over to the County Treasurer all criminal fines, penalties or forfeitures, collected during the preceding month, on the first Wednesday or within ten days thereafter, during each successive month. Likewise, a full and accurate statement of all criminal monies collected must also be furnished to the county auditor.  Please see Proviso 72.75 in the cover memoranda concerning possible action by the State Auditor for failure to timely transmit court generated revenues.  </t>
        </r>
        <r>
          <rPr>
            <b/>
            <sz val="8"/>
            <color indexed="81"/>
            <rFont val="Tahoma"/>
          </rPr>
          <t xml:space="preserve">
</t>
        </r>
        <r>
          <rPr>
            <sz val="8"/>
            <color indexed="81"/>
            <rFont val="Tahoma"/>
          </rPr>
          <t xml:space="preserve">
</t>
        </r>
      </text>
    </comment>
    <comment ref="A48" authorId="2" shapeId="0">
      <text>
        <r>
          <rPr>
            <b/>
            <sz val="12"/>
            <color indexed="81"/>
            <rFont val="Tahoma"/>
            <family val="2"/>
          </rPr>
          <t xml:space="preserve">Bond estreatments, Section 17-15-260
Section 17-15-260 provides that the funds resulting from a bond estreatment are divided as follows: 25% to the state general fund, </t>
        </r>
        <r>
          <rPr>
            <b/>
            <sz val="12"/>
            <color indexed="10"/>
            <rFont val="Tahoma"/>
            <family val="2"/>
          </rPr>
          <t>25% to the solicitor's office,</t>
        </r>
        <r>
          <rPr>
            <b/>
            <sz val="12"/>
            <color indexed="81"/>
            <rFont val="Tahoma"/>
            <family val="2"/>
          </rPr>
          <t xml:space="preserve"> and 50% to the county general fund. If the case was originated by a municipality, the estreated funds are divided as follows: 25% to the state general fund, 25% to the solicitor's office, 25% to the county general fund, and 25% to the municipality. The state's portion should be turned over to the County Treasurer on a monthly basis for transmittal to the State Treasurer.</t>
        </r>
        <r>
          <rPr>
            <sz val="8"/>
            <color indexed="81"/>
            <rFont val="Tahoma"/>
          </rPr>
          <t xml:space="preserve">
</t>
        </r>
      </text>
    </comment>
    <comment ref="A49" authorId="2" shapeId="0">
      <text>
        <r>
          <rPr>
            <b/>
            <sz val="12"/>
            <color indexed="81"/>
            <rFont val="Tahoma"/>
            <family val="2"/>
          </rPr>
          <t xml:space="preserve">Insurance fraud, Section 38-55-560
</t>
        </r>
        <r>
          <rPr>
            <sz val="12"/>
            <color indexed="81"/>
            <rFont val="Tahoma"/>
            <family val="2"/>
          </rPr>
          <t xml:space="preserve">
Section 38-55-560 requires that 100% of all criminal fines generated from violations of Section 38-55-170 or 540 must be transmitted to the Insurance Fraud Division of the Office of the Attorney General. The statute provides that SLED and the Attorney General divide these funds equally, and those two agencies have entered into a written agreement whereby the Attorney General receives the funds and then makes the proper distribution to SLED. These funds should be clearly noted on your report to the county so that the proper amount of funds can be transmitted to Byron R. Roberts, Director, Insurance Fraud Division, Office of the Attorney General, P. O. Box 11549, Columbia, South Carolina 29211. The assessment discussed in V.A.2., V.A.3., V.A.4., and V.A.5. should be collected on all criminal insurance fraud violations. See "Attachment I" for use in identifying these funds to the County Treasurer.</t>
        </r>
        <r>
          <rPr>
            <sz val="8"/>
            <color indexed="81"/>
            <rFont val="Tahoma"/>
          </rPr>
          <t xml:space="preserve">
</t>
        </r>
      </text>
    </comment>
    <comment ref="A50" authorId="2" shapeId="0">
      <text>
        <r>
          <rPr>
            <b/>
            <sz val="12"/>
            <color indexed="81"/>
            <rFont val="Tahoma"/>
            <family val="2"/>
          </rPr>
          <t xml:space="preserve">Cruelty to animals, Section 47-1-60
</t>
        </r>
        <r>
          <rPr>
            <sz val="12"/>
            <color indexed="81"/>
            <rFont val="Tahoma"/>
            <family val="2"/>
          </rPr>
          <t>Section 47-1-160 requires that, if the court determines that there was a nonprofit humane organization in the municipality or county materially involved in or aiding in the prosecution of a violation of any cruelty to animal offense found in Chapter 1 of Title 47 of the South Carolina Code of Laws, one half of the fine must be distributed to that organization. The remainder of the fine shall be retained by the county. These funds should be clearly noted on your report to the County Treasurer so that the proper amount of the fine is distributed to the appropriate agency. The assessment discussed in V.A.2., V.A.3., V.A.4., and V.A.5. should be collected on all cruelty to animal violations. See "Attachment J" for use in identifying these funds to your County Treasurer.</t>
        </r>
        <r>
          <rPr>
            <sz val="8"/>
            <color indexed="81"/>
            <rFont val="Tahoma"/>
          </rPr>
          <t xml:space="preserve">
</t>
        </r>
      </text>
    </comment>
    <comment ref="A51" authorId="2" shapeId="0">
      <text>
        <r>
          <rPr>
            <b/>
            <sz val="12"/>
            <color indexed="81"/>
            <rFont val="Tahoma"/>
            <family val="2"/>
          </rPr>
          <t>Game or fish law violations, Sections 50-9-910, 50-5-25, 50-21-160, 50-23-220, and 50-9-920</t>
        </r>
        <r>
          <rPr>
            <sz val="12"/>
            <color indexed="81"/>
            <rFont val="Tahoma"/>
            <family val="2"/>
          </rPr>
          <t xml:space="preserve">
Section 47-1-160 requires that, if the court determines that there was a nonprofit humane organization in the municipality or county materially involved in or aiding in the prosecution of a violation of any cruelty to animal offense found in Chapter 1 of Title 47 of the South Carolina Code of Laws, one half of the fine must be distributed to that organization. The remainder of the fine shall be retained by the county. These funds should be clearly noted on your report to the County Treasurer so that the proper amount of the fine is distributed to the appropriate agency. The assessment discussed in V.A.2., V.A.3., V.A.4., and V.A.5. should be collected on all cruelty to animal violations. See "Attachment J" for use in identifying these funds to your County Treasurer.</t>
        </r>
      </text>
    </comment>
    <comment ref="A52" authorId="2" shapeId="0">
      <text>
        <r>
          <rPr>
            <b/>
            <sz val="12"/>
            <color indexed="81"/>
            <rFont val="Tahoma"/>
            <family val="2"/>
          </rPr>
          <t xml:space="preserve">Axle weight and gross weight violations, Section 56-5-4160
</t>
        </r>
        <r>
          <rPr>
            <sz val="12"/>
            <color indexed="81"/>
            <rFont val="Tahoma"/>
            <family val="2"/>
          </rPr>
          <t xml:space="preserve">
Section 56-5-4160 provides that all fines collected for violating the weight limits set by Section 56-5-4130 or Section 56-5-4140 must be deposited within 45 days in the account designated the "Size and Weight Revitalization Program Fund for Permanent Improvements". These funds should be clearly noted on your report to the County Treasurer so that the proper amount of fines can be transmitted to the State Transport Police at 10311 Wilson Boulevard, P.O. Box 1993, Blythewood, SC 29016. The assessment discussed in V.A.2., V.A.4., and V.A.5., but not V.A.3., above should be collected on weight violations.</t>
        </r>
        <r>
          <rPr>
            <sz val="8"/>
            <color indexed="81"/>
            <rFont val="Tahoma"/>
            <family val="2"/>
          </rPr>
          <t xml:space="preserve">
</t>
        </r>
      </text>
    </comment>
    <comment ref="A53" authorId="2" shapeId="0">
      <text>
        <r>
          <rPr>
            <b/>
            <sz val="12"/>
            <color indexed="81"/>
            <rFont val="Tahoma"/>
            <family val="2"/>
          </rPr>
          <t xml:space="preserve">Carriers of household goods and hazardous waste for disposal, Section 58-23-590(E)
</t>
        </r>
        <r>
          <rPr>
            <sz val="12"/>
            <color indexed="81"/>
            <rFont val="Tahoma"/>
            <family val="2"/>
          </rPr>
          <t xml:space="preserve">
Section 58-23-590(E) requires that 75% of each fine generated from a violation of Section 58-23-40 be deposited with the Office of Compliance with the Office of Regulatory Staff. The county retains the remaining 25% of the fine. These funds should be clearly noted on your report to the County Treasurer so that the proper amount of fines can be transmitted to the Public Service Commission, Comptroller, Post Office Drawer 11649, Columbia, South Carolina 29211. The assessment discussed in V.A.2., V.A.3., V.A.4., and V.A.5. above should be collected on these violations.  </t>
        </r>
        <r>
          <rPr>
            <sz val="8"/>
            <color indexed="81"/>
            <rFont val="Tahoma"/>
            <family val="2"/>
          </rPr>
          <t xml:space="preserve">
</t>
        </r>
      </text>
    </comment>
    <comment ref="A54" authorId="2" shapeId="0">
      <text>
        <r>
          <rPr>
            <b/>
            <sz val="12"/>
            <color indexed="81"/>
            <rFont val="Tahoma"/>
            <family val="2"/>
          </rPr>
          <t xml:space="preserve">DUI and DUAC, $100.00 Pull-Out, Section 56-5-2930 
</t>
        </r>
        <r>
          <rPr>
            <sz val="12"/>
            <color indexed="81"/>
            <rFont val="Tahoma"/>
            <family val="2"/>
          </rPr>
          <t xml:space="preserve"> (F) One hundred dollars of each fine imposed pursuant to this section must be placed by the Comptroller General into a special restricted account to be used by the Department of Public Safety for the Highway Patrol.
  </t>
        </r>
      </text>
    </comment>
    <comment ref="A55" authorId="1" shapeId="0">
      <text>
        <r>
          <rPr>
            <b/>
            <sz val="12"/>
            <color indexed="81"/>
            <rFont val="Tahoma"/>
            <family val="2"/>
          </rPr>
          <t xml:space="preserve">Section 56-5-1535.    (A)    A person commits endangerment of a highway worker if the person is operating a motor vehicle within a highway work zone at anytime one or more highway workers are in the highway work zone and in proximity to the area where the act or omission occurs and the person: 
(D)    Any fine imposed pursuant to this section is mandatory and may not be waived or reduced below the minimum as provided in subsection (B). </t>
        </r>
        <r>
          <rPr>
            <b/>
            <sz val="12"/>
            <color indexed="10"/>
            <rFont val="Tahoma"/>
            <family val="2"/>
          </rPr>
          <t xml:space="preserve">Sixty-five percent of the fine must be remitted to the Treasurer and deposited in a special account, separate and apart from the general fund, designated for use by the Department of Public Safety to be used for work zone enforcement. </t>
        </r>
        <r>
          <rPr>
            <b/>
            <sz val="12"/>
            <color indexed="81"/>
            <rFont val="Tahoma"/>
            <family val="2"/>
          </rPr>
          <t xml:space="preserve">Twenty-five percent of the fine must be deposited in the State Highway Fund and designated for use by the Department of Transportation to hire off-duty state, county, or municipal police officers to monitor construction or maintenance zones. Ten percent of the fine must be remitted to the county governing body in which the charge was disposed, or the municipality if the charge was disposed in municipal court. </t>
        </r>
      </text>
    </comment>
    <comment ref="A56" authorId="1" shapeId="0">
      <text>
        <r>
          <rPr>
            <b/>
            <sz val="12"/>
            <color indexed="81"/>
            <rFont val="Times New Roman"/>
            <family val="1"/>
          </rPr>
          <t xml:space="preserve">Section 56-5-1535.    (A)    A person commits endangerment of a highway worker if the person is operating a motor vehicle within a highway work zone at anytime one or more highway workers are in the highway work zone and in proximity to the area where the act or omission occurs and the person: 
(D)    Any fine imposed pursuant to this section is mandatory and may not be waived or reduced below the minimum as provided in subsection (B). Sixty-five percent of the fine must be remitted to the Treasurer and deposited in a special account, separate and apart from the general fund, designated for use by the Department of Public Safety to be used for work zone enforcement. </t>
        </r>
        <r>
          <rPr>
            <b/>
            <sz val="12"/>
            <color indexed="10"/>
            <rFont val="Times New Roman"/>
            <family val="1"/>
          </rPr>
          <t>Twenty-five percent of the fine must be deposited in the State Highway Fund and designated for use by the Department of Transportation to hire off-duty state, county, or municipal police officers to monitor construction or maintenance zones.</t>
        </r>
        <r>
          <rPr>
            <b/>
            <sz val="12"/>
            <color indexed="81"/>
            <rFont val="Times New Roman"/>
            <family val="1"/>
          </rPr>
          <t xml:space="preserve"> Ten percent of the fine must be remitted to the county governing body in which the charge was disposed, or the municipality if the charge was disposed in municipal court. </t>
        </r>
      </text>
    </comment>
    <comment ref="A57" authorId="1" shapeId="0">
      <text>
        <r>
          <rPr>
            <b/>
            <sz val="12"/>
            <color indexed="81"/>
            <rFont val="Arial"/>
            <family val="2"/>
          </rPr>
          <t xml:space="preserve">8.   a. Exception: Criminally Negligent Use of Firearms/Archery Tackle, Section 50-1-85
An exception to the general distribution of Title 50 offenses is found in Section 50-1-85, regarding Criminally Negligent Use of Firearms/Archery Tackle.  </t>
        </r>
        <r>
          <rPr>
            <b/>
            <sz val="12"/>
            <color indexed="10"/>
            <rFont val="Arial"/>
            <family val="2"/>
          </rPr>
          <t>That statute requires that 100% of all fines collected from a violation of the statute must be remitted to the State Treasurer to be deposited into the South Carolina Victim's Compensation Fund.</t>
        </r>
        <r>
          <rPr>
            <b/>
            <sz val="12"/>
            <color indexed="81"/>
            <rFont val="Arial"/>
            <family val="2"/>
          </rPr>
          <t xml:space="preserve"> These funds should be clearly noted on your report to the County Treasurer so that the proper amount of fines can be transmitted to the State Treasurer for disbursement into the Victim's Compensation Fund. The assessments discussed in I.A.2., I.A.3., I.A.4., and I.A.5. above should be collected on violations of Section 50-1-85 violations, and forwarded through your County Treasurer to the State Treasurer for distribution to the normal recipients.</t>
        </r>
        <r>
          <rPr>
            <b/>
            <sz val="9"/>
            <color indexed="81"/>
            <rFont val="Tahoma"/>
            <family val="2"/>
          </rPr>
          <t xml:space="preserve">
</t>
        </r>
        <r>
          <rPr>
            <sz val="9"/>
            <color indexed="81"/>
            <rFont val="Tahoma"/>
            <family val="2"/>
          </rPr>
          <t xml:space="preserve">
</t>
        </r>
      </text>
    </comment>
  </commentList>
</comments>
</file>

<file path=xl/comments3.xml><?xml version="1.0" encoding="utf-8"?>
<comments xmlns="http://schemas.openxmlformats.org/spreadsheetml/2006/main">
  <authors>
    <author>tleverette</author>
    <author>Leverette, Terry</author>
    <author>Leverette</author>
    <author>SCJD</author>
  </authors>
  <commentList>
    <comment ref="A4" authorId="0" shapeId="0">
      <text>
        <r>
          <rPr>
            <b/>
            <sz val="8"/>
            <color indexed="81"/>
            <rFont val="Tahoma"/>
          </rPr>
          <t>IF BOND ESTREATEMENT ENTER TOTAL BOND AMOUNT</t>
        </r>
        <r>
          <rPr>
            <sz val="8"/>
            <color indexed="81"/>
            <rFont val="Tahoma"/>
          </rPr>
          <t xml:space="preserve">
</t>
        </r>
      </text>
    </comment>
    <comment ref="F18" authorId="1" shapeId="0">
      <text>
        <r>
          <rPr>
            <sz val="14"/>
            <color indexed="81"/>
            <rFont val="Tahoma"/>
            <family val="2"/>
          </rPr>
          <t xml:space="preserve">
Littering Cigarett Components &lt; 15 LB  </t>
        </r>
        <r>
          <rPr>
            <sz val="14"/>
            <color indexed="10"/>
            <rFont val="Tahoma"/>
            <family val="2"/>
          </rPr>
          <t xml:space="preserve">2322
</t>
        </r>
        <r>
          <rPr>
            <sz val="14"/>
            <color indexed="81"/>
            <rFont val="Tahoma"/>
            <family val="2"/>
          </rPr>
          <t xml:space="preserve">
Littering Area Not Intended for Deposit of Garnage  &lt; 15 LB  </t>
        </r>
        <r>
          <rPr>
            <sz val="14"/>
            <color indexed="10"/>
            <rFont val="Tahoma"/>
            <family val="2"/>
          </rPr>
          <t xml:space="preserve">3126
</t>
        </r>
        <r>
          <rPr>
            <sz val="14"/>
            <color indexed="81"/>
            <rFont val="Tahoma"/>
            <family val="2"/>
          </rPr>
          <t xml:space="preserve">
Littering on Public or Private Property &gt;15 to &lt;500 lbs 1st</t>
        </r>
        <r>
          <rPr>
            <sz val="14"/>
            <color indexed="10"/>
            <rFont val="Tahoma"/>
            <family val="2"/>
          </rPr>
          <t xml:space="preserve"> 3907
</t>
        </r>
        <r>
          <rPr>
            <sz val="14"/>
            <color indexed="81"/>
            <rFont val="Tahoma"/>
            <family val="2"/>
          </rPr>
          <t xml:space="preserve">
Littering on Public or Private Property &gt;15 to &lt;500 lbs 2st </t>
        </r>
        <r>
          <rPr>
            <sz val="14"/>
            <color indexed="10"/>
            <rFont val="Tahoma"/>
            <family val="2"/>
          </rPr>
          <t xml:space="preserve"> 3908
</t>
        </r>
        <r>
          <rPr>
            <sz val="14"/>
            <color indexed="81"/>
            <rFont val="Tahoma"/>
            <family val="2"/>
          </rPr>
          <t xml:space="preserve">
Littering on Public or Private Property &gt;15 to &lt;500 lbs 3st  </t>
        </r>
        <r>
          <rPr>
            <sz val="14"/>
            <color indexed="10"/>
            <rFont val="Tahoma"/>
            <family val="2"/>
          </rPr>
          <t>3909</t>
        </r>
        <r>
          <rPr>
            <sz val="14"/>
            <color indexed="81"/>
            <rFont val="Tahoma"/>
            <family val="2"/>
          </rPr>
          <t xml:space="preserve"> 
Littering on Public or Private Property &gt;500 lbs  </t>
        </r>
        <r>
          <rPr>
            <sz val="14"/>
            <color indexed="10"/>
            <rFont val="Tahoma"/>
            <family val="2"/>
          </rPr>
          <t>635  See Law **</t>
        </r>
      </text>
    </comment>
    <comment ref="J19" authorId="2" shapeId="0">
      <text>
        <r>
          <rPr>
            <b/>
            <sz val="12"/>
            <color indexed="81"/>
            <rFont val="Tahoma"/>
            <family val="2"/>
          </rPr>
          <t xml:space="preserve">Drug Court Surcharge, Section § 14-1-213 
</t>
        </r>
        <r>
          <rPr>
            <sz val="12"/>
            <color indexed="81"/>
            <rFont val="Tahoma"/>
            <family val="2"/>
          </rPr>
          <t xml:space="preserve">
In addition to all other assessments and surcharges required to be imposed by law, a one hundred dollar surcharge is imposed on all misdemeanor drug offense convictions in the magistrate court.  No portion of the surcharge may be waived, reduced, or suspended.  The revenue collected pursuant to this Section must be retained by the jurisdiction which heard or processed the case and paid to the State Treasurer within thirty days after receipt.  These funds should be clearly designated when transmitted to your County Treasurer and then forwarded to the State Treasurer.  </t>
        </r>
        <r>
          <rPr>
            <sz val="8"/>
            <color indexed="81"/>
            <rFont val="Tahoma"/>
            <family val="2"/>
          </rPr>
          <t xml:space="preserve">
</t>
        </r>
      </text>
    </comment>
    <comment ref="L19" authorId="2" shapeId="0">
      <text>
        <r>
          <rPr>
            <b/>
            <sz val="12"/>
            <color indexed="81"/>
            <rFont val="Tahoma"/>
            <family val="2"/>
          </rPr>
          <t xml:space="preserve">Drug Court Surcharge, Section § 14-1-213 
</t>
        </r>
        <r>
          <rPr>
            <sz val="12"/>
            <color indexed="81"/>
            <rFont val="Tahoma"/>
            <family val="2"/>
          </rPr>
          <t xml:space="preserve">
In addition to all other assessments and surcharges required to be imposed by law, a one hundred dollar surcharge is imposed on all misdemeanor drug offense convictions in the magistrate court.  No portion of the surcharge may be waived, reduced, or suspended.  The revenue collected pursuant to this Section must be retained by the jurisdiction which heard or processed the case and paid to the State Treasurer within thirty days after receipt.  These funds should be clearly designated when transmitted to your County Treasurer and then forwarded to the State Treasurer.  </t>
        </r>
        <r>
          <rPr>
            <sz val="8"/>
            <color indexed="81"/>
            <rFont val="Tahoma"/>
            <family val="2"/>
          </rPr>
          <t xml:space="preserve">
</t>
        </r>
      </text>
    </comment>
    <comment ref="P19" authorId="2" shapeId="0">
      <text>
        <r>
          <rPr>
            <b/>
            <sz val="12"/>
            <color indexed="81"/>
            <rFont val="Tahoma"/>
            <family val="2"/>
          </rPr>
          <t xml:space="preserve">Bond estreatments, Section 17-15-260
</t>
        </r>
        <r>
          <rPr>
            <sz val="12"/>
            <color indexed="81"/>
            <rFont val="Tahoma"/>
            <family val="2"/>
          </rPr>
          <t xml:space="preserve">Section 17-15-260 provides that the funds resulting from a bond estreatment are divided as follows: 25% to the state general fund, 25% to the solicitor's office, and 50% to the county general fund. If the case was originated by a municipality, the estreated funds are divided as follows: 25% to the state general fund, 25% to the solicitor's office, 25% to the county general fund, and 25% to the municipality. The state's portion should be turned over to the County Treasurer on a monthly basis for transmittal to the State Treasurer.
</t>
        </r>
      </text>
    </comment>
    <comment ref="R19" authorId="2" shapeId="0">
      <text>
        <r>
          <rPr>
            <b/>
            <sz val="12"/>
            <color indexed="81"/>
            <rFont val="Tahoma"/>
            <family val="2"/>
          </rPr>
          <t xml:space="preserve">Bond estreatments, Section 17-15-260
</t>
        </r>
        <r>
          <rPr>
            <sz val="12"/>
            <color indexed="81"/>
            <rFont val="Tahoma"/>
            <family val="2"/>
          </rPr>
          <t xml:space="preserve">Section 38-55-560 requires that 100% of all criminal fines generated from violations of Section 38-55-170 or 540 must be transmitted to the Insurance Fraud Division of the Office of the Attorney General. The statute provides that SLED and the Attorney General divide these funds equally, and those two agencies have entered into a written agreement whereby the Attorney General receives the funds and then makes the proper distribution to SLED. These funds should be clearly noted on your report to the county so that the proper amount of funds can be transmitted to Byron R. Roberts, Director, Insurance Fraud Division, Office of the Attorney General, P. O. Box 11549, Columbia, South Carolina 29211. The assessment discussed in V.A.2., V.A.3., V.A.4., and V.A.5. should be collected on all criminal insurance fraud violations. See "Attachment I" for use in identifying these funds to the County Treasurer.
</t>
        </r>
      </text>
    </comment>
    <comment ref="T19" authorId="2" shapeId="0">
      <text>
        <r>
          <rPr>
            <b/>
            <sz val="12"/>
            <color indexed="10"/>
            <rFont val="Tahoma"/>
            <family val="2"/>
          </rPr>
          <t>§ 44-1-152.</t>
        </r>
        <r>
          <rPr>
            <b/>
            <sz val="12"/>
            <color indexed="81"/>
            <rFont val="Tahoma"/>
            <family val="2"/>
          </rPr>
          <t xml:space="preserve"> Disposition of revenues from fines and forfeitures for violation of shellfish laws.
 Notwithstanding any other provision of law, all revenue from any fine or any forfeiture of bond for any violation of any shellfish law or regulation provided by this title must be deposited monthly with the treasurer of the county in which the arrest for such violation was made. One-third of such revenue must be retained by the county treasurer to be used for the general operating needs of the county pursuant to the direction of the governing body of the county. Two-thirds of such revenue must be remitted quarterly to the state Department of Health and Environmental Control of which one-half is to be used in enforcing shellfish laws and regulations and one-half of such revenue must be remitted quarterly to the state's general fund. All monies derived from auction sales of confiscated equipment pursuant to &gt; Section 44-1-151 must be deposited, retained, remitted, and used in the same manner as provided in this section for all revenue derived from any fine or any violation of any shellfish law or regulation. A report of fines for forfeitures of bonds regarding shellfish violations must be sent to the state Department of Health and Environmental Control monthly by each magistrate and clerk of court in this State. A report of monies derived from auction of sales of confiscated equipment must be sent to the state Department of Health and Environmental Control monthly by each sheriff.</t>
        </r>
      </text>
    </comment>
    <comment ref="V19" authorId="2" shapeId="0">
      <text>
        <r>
          <rPr>
            <b/>
            <sz val="12"/>
            <color indexed="81"/>
            <rFont val="Tahoma"/>
            <family val="2"/>
          </rPr>
          <t xml:space="preserve">Game or fish law violations, Sections 50-9-910, 50-5-25, 50-21-160, 50-23-220, and 50-9-920
</t>
        </r>
        <r>
          <rPr>
            <sz val="12"/>
            <color indexed="81"/>
            <rFont val="Tahoma"/>
            <family val="2"/>
          </rPr>
          <t xml:space="preserve">
Section 50-9-910 requires that one hundred percent of all revenues from fines and forfeitures from violations of Chapters 1 through 16 of Title 50 (Fish, Game, and Wildlife), except for violations of marine resources laws, shall be transmitted to the County Treasurer monthly. The treasurer then transmits the funds to the Department of Natural Resources, Accounting Department by the 15th of each month to be credited to the County Game and Fish Fund in the county in which the offense occurred. The remittances shall be accompanied by a statement showing the name of all persons fined, the amount of each fine, the summons number and the court in which each fine was collected. 
 Section 50-5-25 provides for the distribution of all revenues from fines and forfeitures for violations of marine resource laws.  Similar to the distribution discussed in the paragraph immediately above, that section provides that one hundred percent of these fines shall be transmitted to the County Treasurer monthly, and then forwarded to the State Treasurer, to be credited to the Wildlife Department and deposited in the County Game and Fish Fund for the county in which the offense occurred by the 15th of each month</t>
        </r>
        <r>
          <rPr>
            <sz val="8"/>
            <color indexed="81"/>
            <rFont val="Tahoma"/>
            <family val="2"/>
          </rPr>
          <t xml:space="preserve">
</t>
        </r>
      </text>
    </comment>
    <comment ref="X19" authorId="2" shapeId="0">
      <text>
        <r>
          <rPr>
            <b/>
            <sz val="12"/>
            <color indexed="81"/>
            <rFont val="Tahoma"/>
            <family val="2"/>
          </rPr>
          <t xml:space="preserve">Boating Under the Influence Breath Test Fee, Section 50-21-114
</t>
        </r>
        <r>
          <rPr>
            <sz val="12"/>
            <color indexed="81"/>
            <rFont val="Tahoma"/>
            <family val="2"/>
          </rPr>
          <t xml:space="preserve">
Pursuant to Section 50-21-114, any individual convicted of, pleading guilty or nolo contendere to, or forfeiting bond for violating Section 50-21-112 (BUI) or 50-21-113 (BUI Per Se), and who was administered a breathalyzer examination at the time of arrest, must be assessed an additional fee of $50.00 at the time of sentencing.  This fee must be forwarded by the County Treasurer to the State Treasurer and credited to the General Fund of the State to defray any costs incurred by SLED and individuals and institutions attaining the samples </t>
        </r>
        <r>
          <rPr>
            <sz val="8"/>
            <color indexed="81"/>
            <rFont val="Tahoma"/>
          </rPr>
          <t xml:space="preserve">
</t>
        </r>
      </text>
    </comment>
    <comment ref="Z19" authorId="2" shapeId="0">
      <text>
        <r>
          <rPr>
            <sz val="12"/>
            <color indexed="81"/>
            <rFont val="Tahoma"/>
            <family val="2"/>
          </rPr>
          <t xml:space="preserve">Section 50-21-160 provides that 75% of all fine revenues generated pursuant to offenses contained within Chapter 21 of Title 50 shall be forwarded to the County Treasurer monthly, and sent to the Wildlife Department, Natural Resource Enforcement Division by the 15th of each month.  25% of those fines must be forwarded to the County Treasurer and retained by the County in which the fine is levied, and placed in the County General Fund.  
</t>
        </r>
      </text>
    </comment>
    <comment ref="AB19" authorId="2" shapeId="0">
      <text>
        <r>
          <rPr>
            <b/>
            <sz val="12"/>
            <color indexed="81"/>
            <rFont val="Tahoma"/>
            <family val="2"/>
          </rPr>
          <t>Axle weight and gross weight violations, Section 56-5-4160</t>
        </r>
        <r>
          <rPr>
            <sz val="12"/>
            <color indexed="81"/>
            <rFont val="Tahoma"/>
            <family val="2"/>
          </rPr>
          <t xml:space="preserve">
Section 56-5-4160 provides that all fines collected for violating the weight limits set by Section 56-5-4130 or Section 56-5-4140 must be deposited within 45 days in the account designated the "Size and Weight Revitalization Program Fund for Permanent Improvements". These funds should be clearly noted on your report to the County Treasurer so that the proper amount of fines can be transmitted to the State Transport Police at 10311 Wilson Boulevard, P.O. Box 1993, Blythewood, SC 29016. The assessment discussed in V.A.2., V.A.4., and V.A.5., but not V.A.3., above should be collected on weight violations.</t>
        </r>
      </text>
    </comment>
    <comment ref="AD19" authorId="2" shapeId="0">
      <text>
        <r>
          <rPr>
            <b/>
            <sz val="12"/>
            <color indexed="81"/>
            <rFont val="Tahoma"/>
            <family val="2"/>
          </rPr>
          <t xml:space="preserve">Carriers of household goods and hazardous waste for disposal, Section 58-23-590(E)
</t>
        </r>
        <r>
          <rPr>
            <sz val="12"/>
            <color indexed="81"/>
            <rFont val="Tahoma"/>
            <family val="2"/>
          </rPr>
          <t xml:space="preserve">
Section 58-23-590(E) requires that 75% of each fine generated from a violation of Section 58-23-40 be deposited with the Office of Compliance with the Public Service Commission. The county retains the remaining 25% of the fine. These funds should be clearly noted on your report to the County Treasurer so that the proper amount of fines can be transmitted to the Public Service Commission, Comptroller, Post Office Drawer 11649, Columbia, South Carolina 29211. The assessment discussed in V.A.2., V.A.3., V.A.4., and V.A.5. above should be collected on these violations.  </t>
        </r>
        <r>
          <rPr>
            <sz val="8"/>
            <color indexed="81"/>
            <rFont val="Tahoma"/>
            <family val="2"/>
          </rPr>
          <t xml:space="preserve">
</t>
        </r>
      </text>
    </comment>
    <comment ref="AJ19" authorId="2" shapeId="0">
      <text>
        <r>
          <rPr>
            <b/>
            <sz val="12"/>
            <color indexed="81"/>
            <rFont val="Tahoma"/>
            <family val="2"/>
          </rPr>
          <t xml:space="preserve">Surcharge on convictions of Sections 56-5-2930(DUI) and 56-5-2933(DUAC), Section 14-1-211(A)(2)
</t>
        </r>
        <r>
          <rPr>
            <sz val="12"/>
            <color indexed="81"/>
            <rFont val="Tahoma"/>
            <family val="2"/>
          </rPr>
          <t xml:space="preserve">
Section 14-1-211(A)(2) requires that a one hundred dollar surcharge be imposed on all convictions of Sections 56-5-2930(DUI) and 56-5-2933(DUAC). No portion of the surcharge may be waived, reduced, or suspended. These funds should be clearly designated when transmitted to your County Treasurer and then forwarded to the State Treasurer. The State Treasurer shall put these funds in a separate account to be used for spinal cord research at MUSC. </t>
        </r>
        <r>
          <rPr>
            <b/>
            <sz val="12"/>
            <color indexed="81"/>
            <rFont val="Tahoma"/>
            <family val="2"/>
          </rPr>
          <t xml:space="preserve">
DUI assessment, Section 56-5-2995(A)
</t>
        </r>
        <r>
          <rPr>
            <sz val="12"/>
            <color indexed="81"/>
            <rFont val="Tahoma"/>
            <family val="2"/>
          </rPr>
          <t>In addition to the assessment and surcharges discussed in V.A.2., V.A.3., V.A.4., V.A.5., and V.A.6. above, a twelve dollar assessment must be imposed for all convictions of Section 56-5-2930, DUI, or Section 56-5-2933, DUAC, obtained in magistrates court. These funds should be clearly designated and transferred to your County Treasurer for remittance to the State Treasurer for disbursal pursuant to Section 14-1-201.</t>
        </r>
        <r>
          <rPr>
            <b/>
            <sz val="12"/>
            <color indexed="81"/>
            <rFont val="Tahoma"/>
            <family val="2"/>
          </rPr>
          <t xml:space="preserve"> 
DUI and DUAC, $100.00 Pull-Out, Section 56-5-2940
</t>
        </r>
        <r>
          <rPr>
            <sz val="12"/>
            <color indexed="81"/>
            <rFont val="Tahoma"/>
            <family val="2"/>
          </rPr>
          <t xml:space="preserve">
Section 56-5-2940 requires that $100.00 of each fine imposed pursuant to Sections 56-5-2930 (DUI) and 56-5-2933 (DUAC) must be forwarded to the State Treasurer and placed into a special restricted account to be used by the Department of Public Safety for the Highway Patrol.   This applies to first and subsequent offenses of those statutes.  The remainder of the fine shall be retained by the jurisdiction that disposed of the case.  These funds should be clearly designated in your monthly report to the County Treasurer and State Treasurer 
</t>
        </r>
      </text>
    </comment>
    <comment ref="AL19" authorId="2" shapeId="0">
      <text>
        <r>
          <rPr>
            <b/>
            <sz val="12"/>
            <color indexed="81"/>
            <rFont val="Tahoma"/>
            <family val="2"/>
          </rPr>
          <t xml:space="preserve">Surcharge on convictions of Sections 56-5-2930(DUI) and 56-5-2933(DUAC), Section 14-1-211(A)(2)
</t>
        </r>
        <r>
          <rPr>
            <sz val="12"/>
            <color indexed="81"/>
            <rFont val="Tahoma"/>
            <family val="2"/>
          </rPr>
          <t xml:space="preserve">
Section 14-1-211(A)(2) requires that a one hundred dollar surcharge be imposed on all convictions of Sections 56-5-2930(DUI) and 56-5-2933(DUAC). No portion of the surcharge may be waived, reduced, or suspended. These funds should be clearly designated when transmitted to your County Treasurer and then forwarded to the State Treasurer. The State Treasurer shall put these funds in a separate account to be used for spinal cord research at MUSC. </t>
        </r>
        <r>
          <rPr>
            <b/>
            <sz val="12"/>
            <color indexed="81"/>
            <rFont val="Tahoma"/>
            <family val="2"/>
          </rPr>
          <t xml:space="preserve">
DUI assessment, Section 56-5-2995(A)
</t>
        </r>
        <r>
          <rPr>
            <sz val="12"/>
            <color indexed="81"/>
            <rFont val="Tahoma"/>
            <family val="2"/>
          </rPr>
          <t>In addition to the assessment and surcharges discussed in V.A.2., V.A.3., V.A.4., V.A.5., and V.A.6. above, a twelve dollar assessment must be imposed for all convictions of Section 56-5-2930, DUI, or Section 56-5-2933, DUAC, obtained in magistrates court. These funds should be clearly designated and transferred to your County Treasurer for remittance to the State Treasurer for disbursal pursuant to Section 14-1-201.</t>
        </r>
        <r>
          <rPr>
            <b/>
            <sz val="12"/>
            <color indexed="81"/>
            <rFont val="Tahoma"/>
            <family val="2"/>
          </rPr>
          <t xml:space="preserve"> 
DUI and DUAC, $100.00 Pull-Out, Section 56-5-2940
</t>
        </r>
        <r>
          <rPr>
            <sz val="12"/>
            <color indexed="81"/>
            <rFont val="Tahoma"/>
            <family val="2"/>
          </rPr>
          <t xml:space="preserve">
Section 56-5-2940 requires that $100.00 of each fine imposed pursuant to Sections 56-5-2930 (DUI) and 56-5-2933 (DUAC) must be forwarded to the State Treasurer and placed into a special restricted account to be used by the Department of Public Safety for the Highway Patrol.   This applies to first and subsequent offenses of those statutes.  The remainder of the fine shall be retained by the jurisdiction that disposed of the case.  These funds should be clearly designated in your monthly report to the County Treasurer and State Treasurer 
</t>
        </r>
      </text>
    </comment>
    <comment ref="AN19" authorId="2" shapeId="0">
      <text>
        <r>
          <rPr>
            <b/>
            <sz val="12"/>
            <color indexed="81"/>
            <rFont val="Tahoma"/>
            <family val="2"/>
          </rPr>
          <t xml:space="preserve">DUS, $100.00 Pull-Out, Section 56-1-460 (c)
</t>
        </r>
        <r>
          <rPr>
            <sz val="12"/>
            <color indexed="81"/>
            <rFont val="Tahoma"/>
            <family val="2"/>
          </rPr>
          <t xml:space="preserve">Section 56-1-460(C) as it relates to Driving under Suspension requires that $100.00 of each fine imposed pursuant to that section must be forwarded to the State Treasurer and placed into a special restricted account to be used by the Department of Public Safety for the Highway Patrol.   The remainder of the fine shall be shall be forwarded to the County Treasurer and placed in the County General Fund. This applies to first and subsequent offenses of those statutes.  These funds should be clearly designated in your monthly report to the County Treasurer and State Treasurer.  </t>
        </r>
        <r>
          <rPr>
            <b/>
            <sz val="12"/>
            <color indexed="81"/>
            <rFont val="Tahoma"/>
            <family val="2"/>
          </rPr>
          <t xml:space="preserve">
Exception, Section 12-37-2740, DUS for Failure to Pay Property Tax
</t>
        </r>
        <r>
          <rPr>
            <sz val="12"/>
            <color indexed="81"/>
            <rFont val="Tahoma"/>
            <family val="2"/>
          </rPr>
          <t>An exception to the rule requiring $100 of each driving under suspension fine be "pulled out" for the benefit of the  Department of Public Safety is found at Section 12-37-2740, Driving Under Suspension For Failure to Pay Property Taxes.  That section contains specific penalty provisions for such a violation which are separate and distinct from the penalties provided in Section 56-1-460.  When handling those cases, reference should be made to that statute for the penalty requirements, and the $100 "pull out" does not apply.</t>
        </r>
        <r>
          <rPr>
            <sz val="8"/>
            <color indexed="81"/>
            <rFont val="Tahoma"/>
          </rPr>
          <t xml:space="preserve">
</t>
        </r>
      </text>
    </comment>
    <comment ref="AP19" authorId="2" shapeId="0">
      <text>
        <r>
          <rPr>
            <b/>
            <sz val="12"/>
            <color indexed="81"/>
            <rFont val="Tahoma"/>
            <family val="2"/>
          </rPr>
          <t xml:space="preserve">Seatbelt, County Ordinance Parking Violations, Sections 56-5-6540 
</t>
        </r>
        <r>
          <rPr>
            <sz val="12"/>
            <color indexed="81"/>
            <rFont val="Tahoma"/>
            <family val="2"/>
          </rPr>
          <t xml:space="preserve">
Pursuant to Section 56-5-6540, no assessments or surcharges shall be added to mandatory seatbelt law violations.  Therefore, the assessments discussed in V.A.2., V.A.3., V.A.4., and V.A.5. above should not be collected on seatbelt or child restraint violations.  The offense requires a $25 fine for each violation, which should be forwarded to your county treasurer. Also, no assessments or surcharges should be added to county or municipal ordinances relating to any parking violations</t>
        </r>
        <r>
          <rPr>
            <sz val="8"/>
            <color indexed="81"/>
            <rFont val="Tahoma"/>
          </rPr>
          <t xml:space="preserve">
</t>
        </r>
      </text>
    </comment>
    <comment ref="AR19" authorId="2" shapeId="0">
      <text>
        <r>
          <rPr>
            <b/>
            <sz val="12"/>
            <color indexed="81"/>
            <rFont val="Tahoma"/>
            <family val="2"/>
          </rPr>
          <t xml:space="preserve">Administrative court costs in fraudulent check cases, Sections 34-11- 70(b) and (c), and 34-11-90(c) and (d)
</t>
        </r>
        <r>
          <rPr>
            <sz val="12"/>
            <color indexed="81"/>
            <rFont val="Tahoma"/>
            <family val="2"/>
          </rPr>
          <t xml:space="preserve">
In most fraudulent check cases, the court is entitled to collect reasonable administrative court costs not to exceed forty-one dollars. This amount is collected from the prosecuting witness if the court dismisses the case for want of prosecution, Section 34-11-70(b), or from the defendant if the court dismisses the case upon satisfactory proof of restitution, Section 34-11-70(c). If the case goes to trial and the defendant is convicted, the cost shall be collected, Section 34-11-90(d), even if the sentence is required to be suspended as provided in Section 34-11-90(c). 
Whenever there is a conviction, the assessment discussed in V.A.2., V.A.3., V.A.4., and V.A.5. above must be collected along with the fine and administrative court cost. If the fine was ultimately suspended, the assessment is computed and collected based on the amount of the fine that is not suspended. </t>
        </r>
        <r>
          <rPr>
            <b/>
            <sz val="8"/>
            <color indexed="81"/>
            <rFont val="Tahoma"/>
          </rPr>
          <t xml:space="preserve">
</t>
        </r>
      </text>
    </comment>
    <comment ref="AT19" authorId="2" shapeId="0">
      <text>
        <r>
          <rPr>
            <b/>
            <sz val="12"/>
            <color indexed="81"/>
            <rFont val="Tahoma"/>
            <family val="2"/>
          </rPr>
          <t xml:space="preserve">Administrative court costs in fraudulent check cases, Sections 34-11- 70(b) and (c), and 34-11-90(c) and (d)
In most fraudulent check cases, the court is entitled to collect reasonable administrative court costs not to exceed forty-one dollars. This amount is collected from the prosecuting witness if the court dismisses the case for want of prosecution, Section 34-11-70(b), or from the defendant if the court dismisses the case upon satisfactory proof of restitution, Section 34-11-70(c). If the case goes to trial and the defendant is convicted, the cost shall be collected, Section 34-11-90(d), even if the sentence is required to be suspended as provided in Section 34-11-90(c). 
Whenever there is a conviction, the assessment discussed in V.A.2., V.A.3., V.A.4., and V.A.5. above must be collected along with the fine and administrative court cost. If the fine was ultimately suspended, the assessment is computed and collected based on the amount of the fine that is not suspended. </t>
        </r>
        <r>
          <rPr>
            <sz val="8"/>
            <color indexed="81"/>
            <rFont val="Tahoma"/>
          </rPr>
          <t xml:space="preserve">
</t>
        </r>
      </text>
    </comment>
    <comment ref="AV19" authorId="2" shapeId="0">
      <text>
        <r>
          <rPr>
            <b/>
            <sz val="14"/>
            <color indexed="10"/>
            <rFont val="Tahoma"/>
            <family val="2"/>
          </rPr>
          <t>Civil Penalty with Assessments</t>
        </r>
      </text>
    </comment>
    <comment ref="AZ19" authorId="1" shapeId="0">
      <text>
        <r>
          <rPr>
            <b/>
            <sz val="12"/>
            <color indexed="81"/>
            <rFont val="Tahoma"/>
            <family val="2"/>
          </rPr>
          <t xml:space="preserve">8.   a. Exception: Criminally Negligent Use of Firearms/Archery Tackle, Section 50-1-85
</t>
        </r>
        <r>
          <rPr>
            <sz val="12"/>
            <color indexed="81"/>
            <rFont val="Tahoma"/>
            <family val="2"/>
          </rPr>
          <t>An exception to the general distribution of Title 50 offenses is found in Section 50-1-85, regarding Criminally Negligent Use of Firearms/Archery Tackle.  That statute requires that 100% of all fines collected from a violation of the statute must be remitted to the State Treasurer to be deposited into the South Carolina Victim's Compensation Fund. These funds should be clearly noted on your report to the County Treasurer so that the proper amount of fines can be transmitted to the State Treasurer for disbursement into the Victim's Compensation Fund. The assessments discussed in I.A.2., I.A.3., I.A.4., and I.A.5. above should be collected on violations of Section 50-1-85 violations, and forwarded through your County Treasurer to the State Treasurer for distribution to the normal recipients.</t>
        </r>
        <r>
          <rPr>
            <b/>
            <sz val="9"/>
            <color indexed="81"/>
            <rFont val="Tahoma"/>
            <family val="2"/>
          </rPr>
          <t xml:space="preserve">
</t>
        </r>
        <r>
          <rPr>
            <sz val="9"/>
            <color indexed="81"/>
            <rFont val="Tahoma"/>
            <family val="2"/>
          </rPr>
          <t xml:space="preserve">
</t>
        </r>
      </text>
    </comment>
    <comment ref="BB19" authorId="2" shapeId="0">
      <text>
        <r>
          <rPr>
            <b/>
            <sz val="12"/>
            <color indexed="10"/>
            <rFont val="Tahoma"/>
            <family val="2"/>
          </rPr>
          <t>Texting &amp; Driving §56-5-3890</t>
        </r>
        <r>
          <rPr>
            <b/>
            <sz val="12"/>
            <color indexed="81"/>
            <rFont val="Tahoma"/>
            <family val="2"/>
          </rPr>
          <t xml:space="preserve">
Please note during the first 180 days after the law’s effective date, law enforcement officers shall only issue warnings for violations of this section.  After 180 days has passed, a person who is adjudicated to be in violation of the law must be fined not more than $25, no part of which may be suspended.  No court costs, assessments, or surcharges may be assessed against a person who violates a provision of this section.  A person must not be fined more than $50 for any one incident of one or more violations of this law.  A custodial arrest for a violation of §56-5-3890 must not be made.  A violation of §56-5-3890 does not constitute a criminal offense. 
Pursuant to §56-5-3890(E), a law enforcement officer shall not stop a person for a violation of this section except when the officer has probable cause that a violation has occurred based on the officer’s clear and unobstructed view of a person who is using a wireless electronic communication device to compose, send, or read a text-based communication while operating a motor vehicle on the public streets and highways.  The officer shall not seize, search, view, or require the forfeiture of a wireless communication device based on a violation of this section.  Additionally, the officer shall not search or request to search a motor vehicle, driver, or passenger in a motor vehicle solely because of a violation of this section.  
§56-5-3890 preempts local ordinances, regulations, and resolutions adopted by municipalities, counties, or other local government entities regarding people using wireless electronic devices while operating motor vehicles on the public streets and highways. </t>
        </r>
      </text>
    </comment>
    <comment ref="BD19" authorId="1" shapeId="0">
      <text>
        <r>
          <rPr>
            <b/>
            <sz val="12"/>
            <color indexed="81"/>
            <rFont val="Tahoma"/>
            <family val="2"/>
          </rPr>
          <t xml:space="preserve">Section 58-23-1680Next.    (A)    A certified South Carolina law enforcement officer is authorized to enforce the requirements of this article. 
(B)    An officer, agent, or employee of a TNC or TNC driver who fails to comply with any requirement contained in this article must be assessed a civil penalty of not less than one hundred dollars for a first violation, not less than five hundred dollars for a second violation, and not less than one thousand dollars for a third violation and subsequent violations. Seventy-five percent of the penalties collected under this section must be remitted to the Office of Regulatory Staff to be used for enforcement operations. Magistrates have jurisdiction over contested violations of this section and are prohibited from suspending or reducing the penalties. </t>
        </r>
        <r>
          <rPr>
            <b/>
            <sz val="9"/>
            <color indexed="81"/>
            <rFont val="Tahoma"/>
            <charset val="1"/>
          </rPr>
          <t xml:space="preserve">
</t>
        </r>
        <r>
          <rPr>
            <sz val="9"/>
            <color indexed="81"/>
            <rFont val="Tahoma"/>
            <charset val="1"/>
          </rPr>
          <t xml:space="preserve">
</t>
        </r>
      </text>
    </comment>
    <comment ref="BH19" authorId="1" shapeId="0">
      <text>
        <r>
          <rPr>
            <b/>
            <sz val="12"/>
            <color indexed="81"/>
            <rFont val="Times New Roman"/>
            <family val="1"/>
          </rPr>
          <t xml:space="preserve">(E)    A person who violates the provisions of this section </t>
        </r>
        <r>
          <rPr>
            <b/>
            <sz val="12"/>
            <color indexed="10"/>
            <rFont val="Times New Roman"/>
            <family val="1"/>
          </rPr>
          <t xml:space="preserve">must be fined twenty-five dollars, </t>
        </r>
        <r>
          <rPr>
            <b/>
            <sz val="12"/>
            <color indexed="81"/>
            <rFont val="Times New Roman"/>
            <family val="1"/>
          </rPr>
          <t xml:space="preserve">all or part of which may not be suspended. In addition no court costs, assessments, surcharges, or points may be assessed against the person or his driving record." </t>
        </r>
        <r>
          <rPr>
            <sz val="9"/>
            <color indexed="81"/>
            <rFont val="Tahoma"/>
            <family val="2"/>
          </rPr>
          <t xml:space="preserve">
</t>
        </r>
      </text>
    </comment>
    <comment ref="A28" authorId="2" shapeId="0">
      <text>
        <r>
          <rPr>
            <b/>
            <sz val="12"/>
            <color indexed="81"/>
            <rFont val="Tahoma"/>
            <family val="2"/>
          </rPr>
          <t>Payment of the fine and assessment by installments, Section 14-1-209(B) and 3% collection cost charge, Section 14-17-725</t>
        </r>
        <r>
          <rPr>
            <sz val="12"/>
            <color indexed="81"/>
            <rFont val="Tahoma"/>
            <family val="2"/>
          </rPr>
          <t xml:space="preserve">
When the fine and assessment are paid in installments, Section 47.11 of the Temporary Provisions of the General Appropriations Act suspends Section 14-1-209(B) for the fiscal year 2008 - 2009 and requires that 51.80722% of each installment be treated as a payment towards the assessment. The remaining 48.192771% is treated as a payment towards the fine. The assessment amount must further be divided, with 88.84 being transmitted to the state, and 11.16 being retained by the county for victims' services. Prior to making these computations, you must determine what other assessments may apply (conviction surcharge, DUI assessments, etc.). Those charges must be collected separately and not included in the percentage splits explained above. Funds collected as installments should not be held until full payment is received but must be remitted each month to the County Treasurer. To compensate for this slight shift in funds, the division of the final installment payment should be adjusted so that the portion collected as the assessment does not exceed the amount originally imposed.
When an individual pays the fine, assessment, or restitution through installments, Section 14-17-725 provides that the magistrate must collect an additional 3% of the installment payment as a collection cost charge. The collection cost is transmitted to the County Treasurer for deposit to the county general fund.</t>
        </r>
        <r>
          <rPr>
            <sz val="8"/>
            <color indexed="81"/>
            <rFont val="Tahoma"/>
          </rPr>
          <t xml:space="preserve">
</t>
        </r>
      </text>
    </comment>
    <comment ref="C28" authorId="2" shapeId="0">
      <text>
        <r>
          <rPr>
            <b/>
            <sz val="12"/>
            <color indexed="81"/>
            <rFont val="Tahoma"/>
            <family val="2"/>
          </rPr>
          <t xml:space="preserve">Payment of the fine and assessment by installments, Section 14-1-209(B) and 3% collection cost charge, Section 14-17-725
</t>
        </r>
        <r>
          <rPr>
            <sz val="12"/>
            <color indexed="81"/>
            <rFont val="Tahoma"/>
            <family val="2"/>
          </rPr>
          <t xml:space="preserve">
When the fine and assessment are paid in installments, Section 47.11 of the Temporary Provisions of the General Appropriations Act suspends Section 14-1-209(B) for the fiscal year 2008 - 2009 and requires that 51.80722% of each installment be treated as a payment towards the assessment. The remaining 48.192771% is treated as a payment towards the fine. The assessment amount must further be divided, with 88.84 being transmitted to the state, and 11.16 being retained by the county for victims' services. Prior to making these computations, you must determine what other assessments may apply (conviction surcharge, DUI assessments, etc.). Those charges must be collected separately and not included in the percentage splits explained above. Funds collected as installments should not be held until full payment is received but must be remitted each month to the County Treasurer. To compensate for this slight shift in funds, the division of the final installment payment should be adjusted so that the portion collected as the assessment does not exceed the amount originally imposed.
When an individual pays the fine, assessment, or restitution through installments, Section 14-17-725 provides that the magistrate must collect an additional 3% of the installment payment as a collection cost charge. The collection cost is transmitted to the County Treasurer for deposit to the county general fund.</t>
        </r>
        <r>
          <rPr>
            <sz val="8"/>
            <color indexed="81"/>
            <rFont val="Tahoma"/>
            <family val="2"/>
          </rPr>
          <t xml:space="preserve">
</t>
        </r>
      </text>
    </comment>
    <comment ref="Q28" authorId="2" shapeId="0">
      <text>
        <r>
          <rPr>
            <b/>
            <sz val="12"/>
            <color indexed="81"/>
            <rFont val="Tahoma"/>
            <family val="2"/>
          </rPr>
          <t xml:space="preserve">Payment of estreatment in installments, Section 38-53-70
</t>
        </r>
        <r>
          <rPr>
            <sz val="12"/>
            <color indexed="81"/>
            <rFont val="Tahoma"/>
            <family val="2"/>
          </rPr>
          <t>Section 38-53-70 provides that the court may allow the surety to pay an estreatment in installments for a period of up to six months. However, the surety must pay a handling fee to the court in an amount equal to 4% of the value of the bond. Per Order of the Chief Justice dated November 14, 2002, the 4% handling fee should be dispersed with the other monies estreated pursuant to V.A.3. above.</t>
        </r>
        <r>
          <rPr>
            <sz val="8"/>
            <color indexed="81"/>
            <rFont val="Tahoma"/>
          </rPr>
          <t xml:space="preserve">
</t>
        </r>
      </text>
    </comment>
    <comment ref="A29" authorId="2" shapeId="0">
      <text>
        <r>
          <rPr>
            <b/>
            <sz val="12"/>
            <color indexed="10"/>
            <rFont val="Tahoma"/>
            <family val="2"/>
          </rPr>
          <t>§ 14-1-211. General Sessions Court surcharge;  fund retention for crime victim services;  unused funds;  reports;  audits.</t>
        </r>
        <r>
          <rPr>
            <b/>
            <sz val="12"/>
            <color indexed="81"/>
            <rFont val="Tahoma"/>
            <family val="2"/>
          </rPr>
          <t xml:space="preserve">
 (A)(1) In addition to all other assessments and surcharges, a one hundred dollar surcharge is imposed on all convictions obtained in general sessions court and </t>
        </r>
        <r>
          <rPr>
            <b/>
            <sz val="12"/>
            <color indexed="10"/>
            <rFont val="Tahoma"/>
            <family val="2"/>
          </rPr>
          <t>a twenty-five dollar surcharge is imposed on all convictions obtained in magistrates and municipal courts in this State.</t>
        </r>
        <r>
          <rPr>
            <b/>
            <sz val="12"/>
            <color indexed="81"/>
            <rFont val="Tahoma"/>
            <family val="2"/>
          </rPr>
          <t xml:space="preserve">  The surcharge may not be imposed on convictions for misdemeanor traffic offenses including, but not limited to, violations of Sections 56-3-1970 </t>
        </r>
        <r>
          <rPr>
            <b/>
            <sz val="12"/>
            <color indexed="39"/>
            <rFont val="Tahoma"/>
            <family val="2"/>
          </rPr>
          <t>(Handicapped Parking)</t>
        </r>
        <r>
          <rPr>
            <b/>
            <sz val="12"/>
            <color indexed="81"/>
            <rFont val="Tahoma"/>
            <family val="2"/>
          </rPr>
          <t xml:space="preserve">  , 56-5-2510 </t>
        </r>
        <r>
          <rPr>
            <b/>
            <sz val="12"/>
            <color indexed="12"/>
            <rFont val="Tahoma"/>
            <family val="2"/>
          </rPr>
          <t>(Stopping, standing or parking outside of business)</t>
        </r>
        <r>
          <rPr>
            <b/>
            <sz val="12"/>
            <color indexed="81"/>
            <rFont val="Tahoma"/>
            <family val="2"/>
          </rPr>
          <t xml:space="preserve">  , and 56-5-2530 </t>
        </r>
        <r>
          <rPr>
            <b/>
            <sz val="12"/>
            <color indexed="12"/>
            <rFont val="Tahoma"/>
            <family val="2"/>
          </rPr>
          <t>(Stopping, standing or parking prohibited in specified places)</t>
        </r>
        <r>
          <rPr>
            <b/>
            <sz val="12"/>
            <color indexed="81"/>
            <rFont val="Tahoma"/>
            <family val="2"/>
          </rPr>
          <t xml:space="preserve">, or another state law, municipal ordinance, or county ordinance restricting parking in a prohibited zone or in a parking place clearly designated for handicapped persons.  However, the surcharge applies to all violations of Section 56-5-2930 </t>
        </r>
        <r>
          <rPr>
            <b/>
            <sz val="12"/>
            <color indexed="12"/>
            <rFont val="Tahoma"/>
            <family val="2"/>
          </rPr>
          <t>(DUI)</t>
        </r>
        <r>
          <rPr>
            <b/>
            <sz val="12"/>
            <color indexed="81"/>
            <rFont val="Tahoma"/>
            <family val="2"/>
          </rPr>
          <t xml:space="preserve"> and  Section 56-5-2933 </t>
        </r>
        <r>
          <rPr>
            <b/>
            <sz val="12"/>
            <color indexed="12"/>
            <rFont val="Tahoma"/>
            <family val="2"/>
          </rPr>
          <t>(DUAC)</t>
        </r>
        <r>
          <rPr>
            <b/>
            <sz val="12"/>
            <color indexed="81"/>
            <rFont val="Tahoma"/>
            <family val="2"/>
          </rPr>
          <t>.  No portion of the surcharge may be waived, reduced, or suspended.</t>
        </r>
      </text>
    </comment>
    <comment ref="A30" authorId="2" shapeId="0">
      <text>
        <r>
          <rPr>
            <b/>
            <sz val="12"/>
            <color indexed="10"/>
            <rFont val="Tahoma"/>
            <family val="2"/>
          </rPr>
          <t>4. Surcharge on all convictions, Law Enforcement Funding, Section 14-1-212</t>
        </r>
        <r>
          <rPr>
            <b/>
            <sz val="12"/>
            <color indexed="81"/>
            <rFont val="Tahoma"/>
            <family val="2"/>
          </rPr>
          <t xml:space="preserve">
In addition to all other assessments and surcharges, a twenty-five dollar surcharge is levied </t>
        </r>
        <r>
          <rPr>
            <b/>
            <sz val="12"/>
            <color indexed="12"/>
            <rFont val="Tahoma"/>
            <family val="2"/>
          </rPr>
          <t xml:space="preserve">on all fines, forfeitures, escheatments, or other monetary penalties imposed in magistrates court for misdemeanor traffic offenses or non-traffic (criminal) convictions, including county ordinances. </t>
        </r>
        <r>
          <rPr>
            <b/>
            <sz val="12"/>
            <color indexed="81"/>
            <rFont val="Tahoma"/>
            <family val="2"/>
          </rPr>
          <t xml:space="preserve"> No portion of the surcharge may be waived, reduced, or suspended.  The surcharge does not apply to state or local laws regulating parking.  Therefore, the $25.00 surcharge should not be added to fines resulting from a conviction of any parking regulations.  
The revenue collected from the surcharge must be retained by the jurisdiction which heard or processed the case and paid to the State Treasurer within thirty days after receipt.  These funds should be clearly designated when transmitted to your County Treasurer and then forwarded to the State Treasurer.  
</t>
        </r>
        <r>
          <rPr>
            <sz val="8"/>
            <color indexed="81"/>
            <rFont val="Tahoma"/>
          </rPr>
          <t xml:space="preserve">
</t>
        </r>
      </text>
    </comment>
    <comment ref="A31" authorId="2" shapeId="0">
      <text>
        <r>
          <rPr>
            <b/>
            <sz val="12"/>
            <color indexed="12"/>
            <rFont val="Tahoma"/>
            <family val="2"/>
          </rPr>
          <t>Surcharge on convictions of Sections 56-5-2930 (DUI) and 56-5-2933 (DUAC), Section 14-1-211(A)(2)</t>
        </r>
        <r>
          <rPr>
            <b/>
            <sz val="12"/>
            <color indexed="81"/>
            <rFont val="Tahoma"/>
            <family val="2"/>
          </rPr>
          <t xml:space="preserve">
</t>
        </r>
        <r>
          <rPr>
            <sz val="12"/>
            <color indexed="81"/>
            <rFont val="Tahoma"/>
            <family val="2"/>
          </rPr>
          <t xml:space="preserve">Section 14-1-211(A)(2) requires that a one hundred dollar surcharge </t>
        </r>
        <r>
          <rPr>
            <sz val="12"/>
            <color indexed="12"/>
            <rFont val="Tahoma"/>
            <family val="2"/>
          </rPr>
          <t>be imposed on all convictions of Sections 56-5-2930(DUI) and 56-5-2933(DUAC)</t>
        </r>
        <r>
          <rPr>
            <sz val="12"/>
            <color indexed="81"/>
            <rFont val="Tahoma"/>
            <family val="2"/>
          </rPr>
          <t xml:space="preserve">. No portion of the surcharge may be waived, reduced, or suspended. These funds should be clearly designated when transmitted to your County Treasurer and then forwarded to the State Treasurer. The State Treasurer shall put these funds in a separate account to be used for spinal cord research at MUSC. </t>
        </r>
        <r>
          <rPr>
            <sz val="8"/>
            <color indexed="81"/>
            <rFont val="Tahoma"/>
            <family val="2"/>
          </rPr>
          <t xml:space="preserve">
</t>
        </r>
      </text>
    </comment>
    <comment ref="A32" authorId="2" shapeId="0">
      <text>
        <r>
          <rPr>
            <b/>
            <sz val="12"/>
            <color indexed="10"/>
            <rFont val="Tahoma"/>
            <family val="2"/>
          </rPr>
          <t>DUI assessment, Section 56-5-2995(A)</t>
        </r>
        <r>
          <rPr>
            <b/>
            <sz val="12"/>
            <color indexed="81"/>
            <rFont val="Tahoma"/>
            <family val="2"/>
          </rPr>
          <t xml:space="preserve">
</t>
        </r>
        <r>
          <rPr>
            <sz val="12"/>
            <color indexed="81"/>
            <rFont val="Tahoma"/>
            <family val="2"/>
          </rPr>
          <t xml:space="preserve">In addition to the assessment and surcharges discussed in V.A.2., V.A.3., V.A.4., V.A.5., and V.A.6. above, a </t>
        </r>
        <r>
          <rPr>
            <sz val="12"/>
            <color indexed="12"/>
            <rFont val="Tahoma"/>
            <family val="2"/>
          </rPr>
          <t>twelve dollar assessment must be imposed for all convictions of Section 56-5-2930, DUI, or Section 56-5-2933, DUAC</t>
        </r>
        <r>
          <rPr>
            <sz val="12"/>
            <color indexed="81"/>
            <rFont val="Tahoma"/>
            <family val="2"/>
          </rPr>
          <t xml:space="preserve">, obtained in magistrates court. These funds should be clearly designated and transferred to your County Treasurer for remittance to the State Treasurer for disbursal pursuant to Section 14-1-201. </t>
        </r>
        <r>
          <rPr>
            <sz val="8"/>
            <color indexed="81"/>
            <rFont val="Tahoma"/>
          </rPr>
          <t xml:space="preserve">
</t>
        </r>
      </text>
    </comment>
    <comment ref="A33" authorId="2" shapeId="0">
      <text>
        <r>
          <rPr>
            <b/>
            <sz val="12"/>
            <color indexed="10"/>
            <rFont val="Tahoma"/>
            <family val="2"/>
          </rPr>
          <t xml:space="preserve">  8. Drug Court Surcharge, Section 14-1-213</t>
        </r>
        <r>
          <rPr>
            <b/>
            <sz val="12"/>
            <color indexed="81"/>
            <rFont val="Tahoma"/>
            <family val="2"/>
          </rPr>
          <t xml:space="preserve">
</t>
        </r>
        <r>
          <rPr>
            <sz val="12"/>
            <color indexed="81"/>
            <rFont val="Tahoma"/>
            <family val="2"/>
          </rPr>
          <t xml:space="preserve"> (A) In addition to all other assessments and surcharges required to be imposed by law, a one hundred fifty dollar surcharge is also levied on all fines, forfeitures, escheatments, or other monetary penalties imposed in general sessions court or in magistrates or municipal court for misdemeanor or felony drug offenses.  No portion of the surcharge may be waived, reduced, or suspended.
 (B) The revenue collected pursuant to subsection (A) must be retained by the jurisdiction that heard or processed the case and paid to the State Treasurer within thirty days of receipt.  The State Treasurer shall transmit these funds to the Prosecution Coordination Commission which shall then apportion these funds among the sixteen judicial circuits on a per capita basis equal to the population in that circuit compared to the population of the State as a whole based on the most recent official United States census.  The funds must be used for drug treatment court programs only.
 (C) It is the intent of the General Assembly that the amounts generated by this section are in addition to any amounts presently being provided for drug treatment court programs and may not be used to supplant funding already allocated for these services.
 (D) The State Treasurer may request the State Auditor to examine the financial records of a jurisdiction which he believes is not timely transmitting the funds required to be paid to the State Treasurer pursuant to subsection (B). The State Auditor is further authorized to conduct these examinations and the local jurisdiction is required to participate in and cooperate fully with the examination.</t>
        </r>
      </text>
    </comment>
    <comment ref="A34" authorId="2" shapeId="0">
      <text>
        <r>
          <rPr>
            <b/>
            <sz val="12"/>
            <color indexed="81"/>
            <rFont val="Tahoma"/>
            <family val="2"/>
          </rPr>
          <t xml:space="preserve">Boating Under the Influence Breath Test Fee, Section 50-21-114
</t>
        </r>
        <r>
          <rPr>
            <sz val="12"/>
            <color indexed="81"/>
            <rFont val="Tahoma"/>
            <family val="2"/>
          </rPr>
          <t xml:space="preserve">Pursuant to Section 50-21-114, any individual convicted of, pleading guilty or nolo contendere to, or forfeiting bond for violating Section 50-21-112 (BUI) or 50-21-113 (BUI Per Se), and who was administered a breathalyzer examination at the time of arrest, must be assessed an additional fee of $50.00 at the time of sentencing.  This fee must be forwarded by the County Treasurer to the State Treasurer and credited to the General Fund of the State to defray any costs incurred by SLED and individuals and institutions attaining the samples forwarded to SLED.  </t>
        </r>
        <r>
          <rPr>
            <sz val="8"/>
            <color indexed="81"/>
            <rFont val="Tahoma"/>
          </rPr>
          <t xml:space="preserve">
</t>
        </r>
      </text>
    </comment>
    <comment ref="A35" authorId="2" shapeId="0">
      <text>
        <r>
          <rPr>
            <b/>
            <sz val="12"/>
            <color indexed="81"/>
            <rFont val="Tahoma"/>
            <family val="2"/>
          </rPr>
          <t xml:space="preserve">DUI, DUAC Breath Test Fee, Section 56-5-2950(E)                                                                         </t>
        </r>
        <r>
          <rPr>
            <sz val="12"/>
            <color indexed="81"/>
            <rFont val="Tahoma"/>
            <family val="2"/>
          </rPr>
          <t xml:space="preserve">
Section 56-5-2950(E) requires that any individual convicted of, pleading guilty or nolo contendere to, or forfeiting bond for violating Section 56-5-2930 (DUI) or 56-5-2933 (DUAC), and who was administered a breathalyzer examination at the time of arrest, must be assessed an additional fee of $25.00 at the time of sentencing.  This fee must be forwarded to the County Treasurer and to the State Treasurer, and placed by the Comptroller General into a special account to be used by SLED to offset the costs of administration of the breath testing devices, breath testing site video program, and toxicology laboratory.  </t>
        </r>
        <r>
          <rPr>
            <b/>
            <sz val="12"/>
            <color indexed="10"/>
            <rFont val="Tahoma"/>
            <family val="2"/>
          </rPr>
          <t xml:space="preserve">The $25.00 breathalyzer fee applies only to those charges made on or after February 10, 2009, at 12:00 p.m. </t>
        </r>
        <r>
          <rPr>
            <b/>
            <sz val="12"/>
            <color indexed="81"/>
            <rFont val="Tahoma"/>
            <family val="2"/>
          </rPr>
          <t xml:space="preserve"> </t>
        </r>
      </text>
    </comment>
    <comment ref="AL35" authorId="2" shapeId="0">
      <text>
        <r>
          <rPr>
            <b/>
            <sz val="12"/>
            <color indexed="81"/>
            <rFont val="Tahoma"/>
            <family val="2"/>
          </rPr>
          <t xml:space="preserve">DUI, DUAC Breath Test Fee, Section 56-5-2950(E
</t>
        </r>
        <r>
          <rPr>
            <sz val="12"/>
            <color indexed="81"/>
            <rFont val="Tahoma"/>
            <family val="2"/>
          </rPr>
          <t xml:space="preserve">
Section 56-5-2950(E) requires that any individual convicted of, pleading guilty or nolo contendere to, or forfeiting bond for violating Section 56-5-2930 (DUI) or 56-5-2933 (DUAC), and who was administered a breathalyzer examination at the time of arrest, must be assessed an additional fee of $25.00 at the time of sentencing.  This fee must be forwarded to the County Treasurer and to the State Treasurer, and placed by the Comptroller General into a special account to be used by SLED to offset the costs of administration of the breath testing devices, breath testing site video program, and toxicology laboratory.  </t>
        </r>
        <r>
          <rPr>
            <b/>
            <sz val="12"/>
            <color indexed="10"/>
            <rFont val="Tahoma"/>
            <family val="2"/>
          </rPr>
          <t>The $25.00 breathalyzer fee applies only to those charges made on or after February 10, 2009, at 12:00 p.m</t>
        </r>
        <r>
          <rPr>
            <sz val="8"/>
            <color indexed="81"/>
            <rFont val="Tahoma"/>
          </rPr>
          <t xml:space="preserve">
</t>
        </r>
      </text>
    </comment>
    <comment ref="A36" authorId="2" shapeId="0">
      <text>
        <r>
          <rPr>
            <b/>
            <sz val="12"/>
            <color indexed="81"/>
            <rFont val="Tahoma"/>
            <family val="2"/>
          </rPr>
          <t xml:space="preserve">Administrative court costs in fraudulent check cases, Sections 34-11- 70(b) and (c), and 34-11-90(c) and (d)
</t>
        </r>
        <r>
          <rPr>
            <sz val="12"/>
            <color indexed="81"/>
            <rFont val="Tahoma"/>
            <family val="2"/>
          </rPr>
          <t>In most fraudulent check cases, the court is entitled to collect reasonable administrative court costs not to exceed forty-one dollars. This amount is collected from the prosecuting witness if the court dismisses the case for want of prosecution, Section 34-11-70(b), or from the defendant if the court dismisses the case upon satisfactory proof of restitution, Section 34-11-70(c). If the case goes to trial and the defendant is convicted, the cost shall be collected, Section 34-11-90(d), even if the sentence is required to be suspended as provided in Section 34-11-90(c). 
Whenever there is a conviction, the assessment discussed in V.A.2., V.A.3., V.A.4., and V.A.5. above must be collected along with the fine and administrative court cost. If the fine was ultimately suspended, the assessment is computed and collected based on the amount of the fine that is not suspended.</t>
        </r>
        <r>
          <rPr>
            <b/>
            <sz val="12"/>
            <color indexed="81"/>
            <rFont val="Tahoma"/>
            <family val="2"/>
          </rPr>
          <t xml:space="preserve"> </t>
        </r>
        <r>
          <rPr>
            <b/>
            <sz val="8"/>
            <color indexed="81"/>
            <rFont val="Tahoma"/>
          </rPr>
          <t xml:space="preserve">
</t>
        </r>
        <r>
          <rPr>
            <sz val="8"/>
            <color indexed="81"/>
            <rFont val="Tahoma"/>
          </rPr>
          <t xml:space="preserve">
</t>
        </r>
      </text>
    </comment>
    <comment ref="A37" authorId="3" shapeId="0">
      <text>
        <r>
          <rPr>
            <b/>
            <sz val="11"/>
            <color indexed="10"/>
            <rFont val="Tahoma"/>
            <family val="2"/>
          </rPr>
          <t>13.  Conditional Discharge fee, Section 44-53-450(C)</t>
        </r>
        <r>
          <rPr>
            <b/>
            <sz val="11"/>
            <color indexed="81"/>
            <rFont val="Tahoma"/>
            <family val="2"/>
          </rPr>
          <t xml:space="preserve">
Before a person may be discharged and proceedings dismissed in a Municipal court as a result of the successful completion of a </t>
        </r>
        <r>
          <rPr>
            <b/>
            <sz val="11"/>
            <color indexed="12"/>
            <rFont val="Tahoma"/>
            <family val="2"/>
          </rPr>
          <t>conditional discharge as defined in 44-53-450, the person must pay a fee of one hundred fifty dollars</t>
        </r>
        <r>
          <rPr>
            <b/>
            <sz val="11"/>
            <color indexed="81"/>
            <rFont val="Tahoma"/>
            <family val="2"/>
          </rPr>
          <t>.  No portion of the fee may be waived, reduced, or suspended, except in the case of indigency.  If the court determines that a person is indigent, the court may partially or totally waive, reduce, or suspend the fee.
The revenue collected pursuant to this subsection must be retained by the jurisdiction that heard or processed the case and paid to the State Treasurer within thirty days of receipt, who shall forward the funds to the Prosecution Coordination Commission.  The State Treasurer may request the State Auditor to examine the financial records of a jurisdiction which he believes is not timely transmitting the funds required to be paid to the State Treasurer pursuant to this subsection.  The State Auditor is further authorized to conduct these examinations and the local jurisdiction is required to participate in and cooperate fully with the examination.</t>
        </r>
      </text>
    </comment>
    <comment ref="A40" authorId="2" shapeId="0">
      <text>
        <r>
          <rPr>
            <b/>
            <sz val="12"/>
            <color indexed="81"/>
            <rFont val="Tahoma"/>
            <family val="2"/>
          </rPr>
          <t xml:space="preserve">Assessment, Section 14-1-207
</t>
        </r>
        <r>
          <rPr>
            <sz val="12"/>
            <color indexed="81"/>
            <rFont val="Tahoma"/>
            <family val="2"/>
          </rPr>
          <t xml:space="preserve">Section 47.11 of the Temporary Provisions of the General Appropriations Act, which suspends Section 14-1-207 for the fiscal year 2008 - 2009, requires any person who is convicted, pleads guilty or nolo contendere to, or forfeits bond for an offense tried in magistrates court to pay an assessment in an amount equal to 107.5% of the fine actually imposed. If a portion of the fine is suspended, the assessment is calculated on the amount of the fine that is not suspended.  This assessment applies to county ordinances also.  The assessment cannot be waived, reduced, or suspended. The assessment may not be imposed on convictions for violations of Sections 56-3-1970, 56-5-2510, and 56-5-2530, or another State law, municipal ordinance, or county ordinance restricting parking in a prohibited zone or in a parking place clearly designated for handicapped persons. </t>
        </r>
        <r>
          <rPr>
            <b/>
            <sz val="12"/>
            <color indexed="81"/>
            <rFont val="Tahoma"/>
            <family val="2"/>
          </rPr>
          <t xml:space="preserve"> </t>
        </r>
        <r>
          <rPr>
            <sz val="12"/>
            <color indexed="81"/>
            <rFont val="Tahoma"/>
            <family val="2"/>
          </rPr>
          <t xml:space="preserve">
</t>
        </r>
        <r>
          <rPr>
            <sz val="8"/>
            <color indexed="81"/>
            <rFont val="Tahoma"/>
          </rPr>
          <t xml:space="preserve">
</t>
        </r>
      </text>
    </comment>
    <comment ref="A41" authorId="2" shapeId="0">
      <text>
        <r>
          <rPr>
            <b/>
            <u/>
            <sz val="12"/>
            <color indexed="10"/>
            <rFont val="Tahoma"/>
            <family val="2"/>
          </rPr>
          <t>The 11.16% retained by the county must be used exclusively for providing victim services</t>
        </r>
        <r>
          <rPr>
            <sz val="12"/>
            <color indexed="81"/>
            <rFont val="Tahoma"/>
            <family val="2"/>
          </rPr>
          <t xml:space="preserve"> as required by Article 15 of Title 16; specifically, those service requirements that are imposed on local law enforcement, local detention facilities, prosecutors, and the summary courts. First priority must be given to those victims' assistance programs which are required by Article 15 of Title 16 and second priority must be given to programs which expand victims' services beyond those required by Article 15 of Title 16. Any funds retained by the County Treasurer which are not used for victim services at the end of the fiscal year must be carried forward to the next year and used exclusively for services for victims of crimes. All unused funds must be separately identified in the counties adopted budget as funds unused and carried forward from previous years. </t>
        </r>
        <r>
          <rPr>
            <sz val="8"/>
            <color indexed="81"/>
            <rFont val="Tahoma"/>
          </rPr>
          <t xml:space="preserve">
</t>
        </r>
      </text>
    </comment>
    <comment ref="A42" authorId="2" shapeId="0">
      <text>
        <r>
          <rPr>
            <sz val="11"/>
            <color indexed="81"/>
            <rFont val="Tahoma"/>
            <family val="2"/>
          </rPr>
          <t xml:space="preserve">The amount collected as assessments must be forwarded each month to the Municipal Treasurer, who shall retain 11.16% of the revenue generated by the assessment for the municipality and transmit the remaining 88.84% by the fifteenth of each month to the State Treasurer on forms and in a manner prescribed by him.
</t>
        </r>
        <r>
          <rPr>
            <sz val="11"/>
            <color indexed="10"/>
            <rFont val="Tahoma"/>
            <family val="2"/>
          </rPr>
          <t xml:space="preserve">
§ 14-1-208. Additional assessment, municipal court;  remittance;  disposition;  annual audits.</t>
        </r>
        <r>
          <rPr>
            <sz val="11"/>
            <color indexed="81"/>
            <rFont val="Tahoma"/>
            <family val="2"/>
          </rPr>
          <t xml:space="preserve">
  (A) Beginning October 1, 2000, and continuously after that date, a person who is convicted of, or pleads guilty or nolo contendere to, or forfeits bond for an offense tried in municipal court must pay an amount equal to 100 percent of the fine imposed as an assessment.  This assessment must be paid to the municipal clerk of court and deposited with the city treasurer for remittance to the State Treasurer.  The assessment is based upon that portion of the fine that is not suspended, and assessments must not be waived, reduced, or suspended.
 (B) The city treasurer must remit 12 percent of the revenue generated by the assessment imposed in subsection (A) to the municipality to be used for the purposes set forth in subsection (D) and remit the balance of the assessment revenue to the State Treasurer on a monthly basis by the fifteenth day of each month and make reports on a form and in a manner prescribed by the State Treasurer.  Assessments paid in installments must be remitted as received.
 (C) The State Treasurer shall deposit the assessments received as follows:
 (1) 15.24 percent for programs established pursuant to Chapter 21 of Title 24 and the Shock Incarceration Program as provided in Article 13, Chapter 13 of Title 24;
 (2) 15.07 percent to the Department of Public Safety program of training in the fields of law enforcement and criminal justice;
 (3) .39 percent to the Department of Public Safety to defray the cost of erecting and maintaining the South Carolina Law Enforcement Officers Hall of Fame.   When funds collected pursuant to this item exceed the necessary costs and expenses of the South Carolina Law Enforcement Officers Hall of Fame operation and maintenance as determined by the Department of Public Safety, the department may retain the surplus for use in its law enforcement training programs;
 (4) 11.26 percent for the State Office of Victim Assistance;
 (5) 4.11 percent to the general fund;
 (6) 11.46 percent to the Office of Indigent Defense for the defense of indigents;
 (7) .97 percent to the Department of Mental Health to be used exclusively for the treatment and rehabilitation of drug addicts within the department's addiction center facilities;
 (8) .59 percent to the Attorney General's Office for a fund to provide support for counties involved in complex criminal litigation.  For the purposes of this item, "complex criminal litigation" means criminal cases in which the State is seeking the death penalty and has served notice as required by law upon the defendant's counsel and the county involved has expended more than one hundred thousand dollars for a particular case in direct support of operating the court of general sessions and for prosecution-related expenses.  The Attorney General shall develop guidelines for determining what expenses are reimbursable from the fund and shall approve all disbursements from the fund.  Funds must be paid to a county for all expenditures authorized for reimbursement under this item except for the first one hundred thousand dollars the county expended in satisfying the requirements for reimbursement from the fund;  however, money disbursed from this fund must be disbursed on a "first received, first paid" basis.  When revenue in the fund reaches five hundred thousand dollars, all revenue in excess of five hundred thousand dollars must be credited to the general fund of the State.  Unexpended revenue in the fund at the end of the fiscal year carries over and may be expended in the next fiscal year;
 (9) 11.36 percent for the programs established pursuant to &gt; Section 56-5-2953(E);
 (10) 14.77 percent to the Governor's Task Force on Litter and in the expenditure of these funds, the provisions of Chapter 35 of Title 11 do not apply;
 (11) 14.77 percent to the Department of Juvenile Justice.  The Department of Juvenile Justice must apply the funds generated by this item to offset the nonstate share of allowable costs of operating juvenile detention centers so that per diem costs charged to local governments utilizing the juvenile detention centers do not exceed twenty-five dollars a day.  Notwithstanding this provision of law, the director of the department may waive, reduce, defer, or reimburse the charges paid by local governments for juvenile detention placements.  The department may apply the remainder of the funds generated by this item, if any, to operational or capital expenses associated with regional evaluation centers.</t>
        </r>
        <r>
          <rPr>
            <sz val="10"/>
            <color indexed="81"/>
            <rFont val="Tahoma"/>
            <family val="2"/>
          </rPr>
          <t xml:space="preserve">
</t>
        </r>
      </text>
    </comment>
    <comment ref="A46" authorId="2" shapeId="0">
      <text>
        <r>
          <rPr>
            <b/>
            <sz val="12"/>
            <color indexed="81"/>
            <rFont val="Tahoma"/>
            <family val="2"/>
          </rPr>
          <t xml:space="preserve">Magistrates' criminal fines, penalties or forfeitures, Section 22-1-90
</t>
        </r>
        <r>
          <rPr>
            <sz val="12"/>
            <color indexed="81"/>
            <rFont val="Tahoma"/>
            <family val="2"/>
          </rPr>
          <t xml:space="preserve">Generally, the revenue generated from criminal fines, penalties, and forfeitures in magistrates court is retained by the county. However, you may routinely encounter twelve exceptions to this rule. These exceptions, which are discussed below, are DUI and DUAC, Section 56-5-2940; DUS, Section 56-1-460; bond estreatments, Section 17-15-260; insurance fraud, Section 38-55-560; cruelty to animals, Section 47-1-160; game or fish law violations, Sections 50-1-150 and 170; size and weight violations, Section 56-5-4160; carriers of household goods and hazardous waste for disposal, Section 58-23-590; tattooing regulation violations, Section 44-34-100(G); Seatbelt, County Ordinance Parking Violations, Section  56-5-6540; Littering, Section 16-11-700; and cases transferred from general sessions court, Section 22-3-545.
Magistrates and are required to turn over to the County Treasurer all criminal fines, penalties or forfeitures, collected during the preceding month, on the first Wednesday or within ten days thereafter, during each successive month. Likewise, a full and accurate statement of all criminal monies collected must also be furnished to the county auditor.  Please see Proviso 72.75 in the cover memoranda concerning possible action by the State Auditor for failure to timely transmit court generated revenues.  </t>
        </r>
        <r>
          <rPr>
            <sz val="8"/>
            <color indexed="81"/>
            <rFont val="Tahoma"/>
            <family val="2"/>
          </rPr>
          <t xml:space="preserve">
</t>
        </r>
      </text>
    </comment>
    <comment ref="A47" authorId="2" shapeId="0">
      <text>
        <r>
          <rPr>
            <b/>
            <sz val="12"/>
            <color indexed="10"/>
            <rFont val="Tahoma"/>
            <family val="2"/>
          </rPr>
          <t>Municipal Judges' criminal fines, penalties, or forfeitures, Section 14-25-85</t>
        </r>
        <r>
          <rPr>
            <b/>
            <sz val="12"/>
            <color indexed="81"/>
            <rFont val="Tahoma"/>
            <family val="2"/>
          </rPr>
          <t xml:space="preserve">
Generally, the revenue generated from criminal fines, penalties, and forfeitures in municipal court is retained by the municipality. However, you may encounter twelve exceptions to this rule. These exceptions, which are discussed below, are DUI and DUAC, Section 56-5-2940; DUS, Section 56-1-460; bond estreatments, Section 17-15-260; insurance fraud, Section 38-55-560; cruelty to animals, Section 47-1-160; game or fish law violations, Sections 50-1-150 and 170; size and weight violations, Section 56-5-4160; carriers of household goods and hazardous waste for disposal, Section 58-23-590(E); tattooing regulation violations, Section 44-34-100(G); seatbelt, municipal ordinance parking violations, Section 56-5-6540; littering, Section 16-11-700; and cases transferred from general sessions court, Section 22-3-545.
Every criminal fine and penalty collected by the municipal court is to be forthwith turned over by the municipal court clerk to the Municipal Treasurer for which such court is held. It is recommended that copies of the docket be transmitted with the monies to facilitate accounting of deposits with the treasurer.</t>
        </r>
        <r>
          <rPr>
            <b/>
            <sz val="8"/>
            <color indexed="81"/>
            <rFont val="Tahoma"/>
          </rPr>
          <t xml:space="preserve">
</t>
        </r>
        <r>
          <rPr>
            <sz val="8"/>
            <color indexed="81"/>
            <rFont val="Tahoma"/>
          </rPr>
          <t xml:space="preserve">
</t>
        </r>
      </text>
    </comment>
    <comment ref="A48" authorId="2" shapeId="0">
      <text>
        <r>
          <rPr>
            <b/>
            <sz val="12"/>
            <color indexed="81"/>
            <rFont val="Tahoma"/>
            <family val="2"/>
          </rPr>
          <t xml:space="preserve">Bond estreatments, Section 17-15-260
Section 17-15-260 provides that the funds resulting from a bond estreatment are divided as follows: 25% to the state general fund, </t>
        </r>
        <r>
          <rPr>
            <b/>
            <sz val="12"/>
            <color indexed="10"/>
            <rFont val="Tahoma"/>
            <family val="2"/>
          </rPr>
          <t>25% to the solicitor's office,</t>
        </r>
        <r>
          <rPr>
            <b/>
            <sz val="12"/>
            <color indexed="81"/>
            <rFont val="Tahoma"/>
            <family val="2"/>
          </rPr>
          <t xml:space="preserve"> and 50% to the county general fund. If the case was originated by a municipality, the estreated funds are divided as follows: 25% to the state general fund, 25% to the solicitor's office, 25% to the county general fund, and 25% to the municipality. The state's portion should be turned over to the County Treasurer on a monthly basis for transmittal to the State Treasurer.</t>
        </r>
        <r>
          <rPr>
            <sz val="8"/>
            <color indexed="81"/>
            <rFont val="Tahoma"/>
          </rPr>
          <t xml:space="preserve">
</t>
        </r>
      </text>
    </comment>
    <comment ref="A49" authorId="2" shapeId="0">
      <text>
        <r>
          <rPr>
            <b/>
            <sz val="12"/>
            <color indexed="81"/>
            <rFont val="Tahoma"/>
            <family val="2"/>
          </rPr>
          <t xml:space="preserve">Insurance fraud, Section 38-55-560
</t>
        </r>
        <r>
          <rPr>
            <sz val="12"/>
            <color indexed="81"/>
            <rFont val="Tahoma"/>
            <family val="2"/>
          </rPr>
          <t xml:space="preserve">
Section 38-55-560 requires that 100% of all criminal fines generated from violations of Section 38-55-170 or 540 must be transmitted to the Insurance Fraud Division of the Office of the Attorney General. The statute provides that SLED and the Attorney General divide these funds equally, and those two agencies have entered into a written agreement whereby the Attorney General receives the funds and then makes the proper distribution to SLED. These funds should be clearly noted on your report to the county so that the proper amount of funds can be transmitted to Byron R. Roberts, Director, Insurance Fraud Division, Office of the Attorney General, P. O. Box 11549, Columbia, South Carolina 29211. The assessment discussed in V.A.2., V.A.3., V.A.4., and V.A.5. should be collected on all criminal insurance fraud violations. See "Attachment I" for use in identifying these funds to the County Treasurer.</t>
        </r>
        <r>
          <rPr>
            <sz val="8"/>
            <color indexed="81"/>
            <rFont val="Tahoma"/>
          </rPr>
          <t xml:space="preserve">
</t>
        </r>
      </text>
    </comment>
    <comment ref="A50" authorId="2" shapeId="0">
      <text>
        <r>
          <rPr>
            <b/>
            <sz val="12"/>
            <color indexed="81"/>
            <rFont val="Tahoma"/>
            <family val="2"/>
          </rPr>
          <t xml:space="preserve">Cruelty to animals, Section 47-1-60
</t>
        </r>
        <r>
          <rPr>
            <sz val="12"/>
            <color indexed="81"/>
            <rFont val="Tahoma"/>
            <family val="2"/>
          </rPr>
          <t>Section 47-1-160 requires that, if the court determines that there was a nonprofit humane organization in the municipality or county materially involved in or aiding in the prosecution of a violation of any cruelty to animal offense found in Chapter 1 of Title 47 of the South Carolina Code of Laws, one half of the fine must be distributed to that organization. The remainder of the fine shall be retained by the county. These funds should be clearly noted on your report to the County Treasurer so that the proper amount of the fine is distributed to the appropriate agency. The assessment discussed in V.A.2., V.A.3., V.A.4., and V.A.5. should be collected on all cruelty to animal violations. See "Attachment J" for use in identifying these funds to your County Treasurer.</t>
        </r>
        <r>
          <rPr>
            <sz val="8"/>
            <color indexed="81"/>
            <rFont val="Tahoma"/>
          </rPr>
          <t xml:space="preserve">
</t>
        </r>
      </text>
    </comment>
    <comment ref="A51" authorId="2" shapeId="0">
      <text>
        <r>
          <rPr>
            <b/>
            <sz val="12"/>
            <color indexed="81"/>
            <rFont val="Tahoma"/>
            <family val="2"/>
          </rPr>
          <t>Game or fish law violations, Sections 50-9-910, 50-5-25, 50-21-160, 50-23-220, and 50-9-920</t>
        </r>
        <r>
          <rPr>
            <sz val="12"/>
            <color indexed="81"/>
            <rFont val="Tahoma"/>
            <family val="2"/>
          </rPr>
          <t xml:space="preserve">
Section 47-1-160 requires that, if the court determines that there was a nonprofit humane organization in the municipality or county materially involved in or aiding in the prosecution of a violation of any cruelty to animal offense found in Chapter 1 of Title 47 of the South Carolina Code of Laws, one half of the fine must be distributed to that organization. The remainder of the fine shall be retained by the county. These funds should be clearly noted on your report to the County Treasurer so that the proper amount of the fine is distributed to the appropriate agency. The assessment discussed in V.A.2., V.A.3., V.A.4., and V.A.5. should be collected on all cruelty to animal violations. See "Attachment J" for use in identifying these funds to your County Treasurer.</t>
        </r>
      </text>
    </comment>
    <comment ref="A52" authorId="2" shapeId="0">
      <text>
        <r>
          <rPr>
            <b/>
            <sz val="12"/>
            <color indexed="81"/>
            <rFont val="Tahoma"/>
            <family val="2"/>
          </rPr>
          <t xml:space="preserve">Axle weight and gross weight violations, Section 56-5-4160
</t>
        </r>
        <r>
          <rPr>
            <sz val="12"/>
            <color indexed="81"/>
            <rFont val="Tahoma"/>
            <family val="2"/>
          </rPr>
          <t xml:space="preserve">
Section 56-5-4160 provides that all fines collected for violating the weight limits set by Section 56-5-4130 or Section 56-5-4140 must be deposited within 45 days in the account designated the "Size and Weight Revitalization Program Fund for Permanent Improvements". These funds should be clearly noted on your report to the County Treasurer so that the proper amount of fines can be transmitted to the State Transport Police at 10311 Wilson Boulevard, P.O. Box 1993, Blythewood, SC 29016. The assessment discussed in V.A.2., V.A.4., and V.A.5., but not V.A.3., above should be collected on weight violations.</t>
        </r>
        <r>
          <rPr>
            <sz val="8"/>
            <color indexed="81"/>
            <rFont val="Tahoma"/>
            <family val="2"/>
          </rPr>
          <t xml:space="preserve">
</t>
        </r>
      </text>
    </comment>
    <comment ref="A53" authorId="2" shapeId="0">
      <text>
        <r>
          <rPr>
            <b/>
            <sz val="12"/>
            <color indexed="81"/>
            <rFont val="Tahoma"/>
            <family val="2"/>
          </rPr>
          <t xml:space="preserve">Carriers of household goods and hazardous waste for disposal, Section 58-23-590(E)
</t>
        </r>
        <r>
          <rPr>
            <sz val="12"/>
            <color indexed="81"/>
            <rFont val="Tahoma"/>
            <family val="2"/>
          </rPr>
          <t xml:space="preserve">
Section 58-23-590(E) requires that 75% of each fine generated from a violation of Section 58-23-40 be deposited with the Office of Compliance with the Office of Regulatory Staff. The county retains the remaining 25% of the fine. These funds should be clearly noted on your report to the County Treasurer so that the proper amount of fines can be transmitted to the Public Service Commission, Comptroller, Post Office Drawer 11649, Columbia, South Carolina 29211. The assessment discussed in V.A.2., V.A.3., V.A.4., and V.A.5. above should be collected on these violations.  </t>
        </r>
        <r>
          <rPr>
            <sz val="8"/>
            <color indexed="81"/>
            <rFont val="Tahoma"/>
            <family val="2"/>
          </rPr>
          <t xml:space="preserve">
</t>
        </r>
      </text>
    </comment>
    <comment ref="A54" authorId="2" shapeId="0">
      <text>
        <r>
          <rPr>
            <b/>
            <sz val="12"/>
            <color indexed="81"/>
            <rFont val="Tahoma"/>
            <family val="2"/>
          </rPr>
          <t xml:space="preserve">DUI and DUAC, $100.00 Pull-Out, Section 56-5-2930 
</t>
        </r>
        <r>
          <rPr>
            <sz val="12"/>
            <color indexed="81"/>
            <rFont val="Tahoma"/>
            <family val="2"/>
          </rPr>
          <t xml:space="preserve"> (F) One hundred dollars of each fine imposed pursuant to this section must be placed by the Comptroller General into a special restricted account to be used by the Department of Public Safety for the Highway Patrol.
  </t>
        </r>
      </text>
    </comment>
    <comment ref="A55" authorId="1" shapeId="0">
      <text>
        <r>
          <rPr>
            <b/>
            <sz val="12"/>
            <color indexed="81"/>
            <rFont val="Tahoma"/>
            <family val="2"/>
          </rPr>
          <t xml:space="preserve">Section 56-5-1535.    (A)    A person commits endangerment of a highway worker if the person is operating a motor vehicle within a highway work zone at anytime one or more highway workers are in the highway work zone and in proximity to the area where the act or omission occurs and the person: 
(D)    Any fine imposed pursuant to this section is mandatory and may not be waived or reduced below the minimum as provided in subsection (B). </t>
        </r>
        <r>
          <rPr>
            <b/>
            <sz val="12"/>
            <color indexed="10"/>
            <rFont val="Tahoma"/>
            <family val="2"/>
          </rPr>
          <t xml:space="preserve">Sixty-five percent of the fine must be remitted to the Treasurer and deposited in a special account, separate and apart from the general fund, designated for use by the Department of Public Safety to be used for work zone enforcement. </t>
        </r>
        <r>
          <rPr>
            <b/>
            <sz val="12"/>
            <color indexed="81"/>
            <rFont val="Tahoma"/>
            <family val="2"/>
          </rPr>
          <t xml:space="preserve">Twenty-five percent of the fine must be deposited in the State Highway Fund and designated for use by the Department of Transportation to hire off-duty state, county, or municipal police officers to monitor construction or maintenance zones. Ten percent of the fine must be remitted to the county governing body in which the charge was disposed, or the municipality if the charge was disposed in municipal court. </t>
        </r>
      </text>
    </comment>
    <comment ref="A56" authorId="1" shapeId="0">
      <text>
        <r>
          <rPr>
            <b/>
            <sz val="12"/>
            <color indexed="81"/>
            <rFont val="Times New Roman"/>
            <family val="1"/>
          </rPr>
          <t xml:space="preserve">Section 56-5-1535.    (A)    A person commits endangerment of a highway worker if the person is operating a motor vehicle within a highway work zone at anytime one or more highway workers are in the highway work zone and in proximity to the area where the act or omission occurs and the person: 
(D)    Any fine imposed pursuant to this section is mandatory and may not be waived or reduced below the minimum as provided in subsection (B). Sixty-five percent of the fine must be remitted to the Treasurer and deposited in a special account, separate and apart from the general fund, designated for use by the Department of Public Safety to be used for work zone enforcement. </t>
        </r>
        <r>
          <rPr>
            <b/>
            <sz val="12"/>
            <color indexed="10"/>
            <rFont val="Times New Roman"/>
            <family val="1"/>
          </rPr>
          <t>Twenty-five percent of the fine must be deposited in the State Highway Fund and designated for use by the Department of Transportation to hire off-duty state, county, or municipal police officers to monitor construction or maintenance zones.</t>
        </r>
        <r>
          <rPr>
            <b/>
            <sz val="12"/>
            <color indexed="81"/>
            <rFont val="Times New Roman"/>
            <family val="1"/>
          </rPr>
          <t xml:space="preserve"> Ten percent of the fine must be remitted to the county governing body in which the charge was disposed, or the municipality if the charge was disposed in municipal court. </t>
        </r>
      </text>
    </comment>
    <comment ref="A57" authorId="1" shapeId="0">
      <text>
        <r>
          <rPr>
            <b/>
            <sz val="12"/>
            <color indexed="81"/>
            <rFont val="Arial"/>
            <family val="2"/>
          </rPr>
          <t xml:space="preserve">8.   a. Exception: Criminally Negligent Use of Firearms/Archery Tackle, Section 50-1-85
An exception to the general distribution of Title 50 offenses is found in Section 50-1-85, regarding Criminally Negligent Use of Firearms/Archery Tackle.  </t>
        </r>
        <r>
          <rPr>
            <b/>
            <sz val="12"/>
            <color indexed="10"/>
            <rFont val="Arial"/>
            <family val="2"/>
          </rPr>
          <t>That statute requires that 100% of all fines collected from a violation of the statute must be remitted to the State Treasurer to be deposited into the South Carolina Victim's Compensation Fund.</t>
        </r>
        <r>
          <rPr>
            <b/>
            <sz val="12"/>
            <color indexed="81"/>
            <rFont val="Arial"/>
            <family val="2"/>
          </rPr>
          <t xml:space="preserve"> These funds should be clearly noted on your report to the County Treasurer so that the proper amount of fines can be transmitted to the State Treasurer for disbursement into the Victim's Compensation Fund. The assessments discussed in I.A.2., I.A.3., I.A.4., and I.A.5. above should be collected on violations of Section 50-1-85 violations, and forwarded through your County Treasurer to the State Treasurer for distribution to the normal recipients.</t>
        </r>
        <r>
          <rPr>
            <b/>
            <sz val="9"/>
            <color indexed="81"/>
            <rFont val="Tahoma"/>
            <family val="2"/>
          </rPr>
          <t xml:space="preserve">
</t>
        </r>
        <r>
          <rPr>
            <sz val="9"/>
            <color indexed="81"/>
            <rFont val="Tahoma"/>
            <family val="2"/>
          </rPr>
          <t xml:space="preserve">
</t>
        </r>
      </text>
    </comment>
  </commentList>
</comments>
</file>

<file path=xl/sharedStrings.xml><?xml version="1.0" encoding="utf-8"?>
<sst xmlns="http://schemas.openxmlformats.org/spreadsheetml/2006/main" count="433" uniqueCount="138">
  <si>
    <t>STATE GENERAL FUND</t>
  </si>
  <si>
    <t>SOLICITORS OFFICE</t>
  </si>
  <si>
    <t>STATE ATTORNEY GENERAL</t>
  </si>
  <si>
    <t>PART OF FINE GOES TO</t>
  </si>
  <si>
    <t>STATE TRANSPORT POLICE</t>
  </si>
  <si>
    <t>TRAFFIC VIOLATION</t>
  </si>
  <si>
    <t>CRIMINAL VIOLATION</t>
  </si>
  <si>
    <t>INSURANCE FRAUD</t>
  </si>
  <si>
    <t>GAME OR FISH LAW VIOLATIONS</t>
  </si>
  <si>
    <t>AXLE WEIGHT VIOLATIONS</t>
  </si>
  <si>
    <t>FRAUDULENT CHECK</t>
  </si>
  <si>
    <t>BOND ESTREATMENTS</t>
  </si>
  <si>
    <t>$100.00 VICTIM FUND</t>
  </si>
  <si>
    <t>DEPARTMENT OF NATURAL RESOURCES</t>
  </si>
  <si>
    <t>NUMBER OF INSTALLMENTS PAYMENTS</t>
  </si>
  <si>
    <t>MAGISTRATE COURT FINE</t>
  </si>
  <si>
    <t>COUNTY ORDINANCE VIOLATIONS</t>
  </si>
  <si>
    <t>10.  34-11-70 (B &amp; C) FRAUD CHECK</t>
  </si>
  <si>
    <t>TOTAL FINE</t>
  </si>
  <si>
    <t>TOTAL ASSESSMENTS</t>
  </si>
  <si>
    <t>ASSESSMENT BREAKDOWN</t>
  </si>
  <si>
    <t xml:space="preserve">  9.  50-21-114 BOATING UNDER INFLUENCE</t>
  </si>
  <si>
    <t xml:space="preserve">  8.  14-1-209  3% COLLECTION FEE</t>
  </si>
  <si>
    <t xml:space="preserve">  7.  33.7 (1B) TP DRUG COURT</t>
  </si>
  <si>
    <t xml:space="preserve">  6.  56-5-2995(A) DUI ASSESSMENT</t>
  </si>
  <si>
    <t xml:space="preserve">  5.  14-1-211 DUI MUSC FUND</t>
  </si>
  <si>
    <t xml:space="preserve">  4. 73.3 (D) TP LAW ENFORCEMENT FUNDING</t>
  </si>
  <si>
    <t xml:space="preserve">  3.  14-1-270 VICTIM FUND</t>
  </si>
  <si>
    <t xml:space="preserve">  2.  14-1-207 1.075 % ASSESSMENT</t>
  </si>
  <si>
    <t>$ 25.00 LAW ENFORCEMENT FUNDING</t>
  </si>
  <si>
    <t>$ 100.00 DUI MUSC FUND</t>
  </si>
  <si>
    <t>$ 12.00 DUI ASSESSMENT</t>
  </si>
  <si>
    <t>TOTAL 107.5% ASSESSMENT 51.807228%</t>
  </si>
  <si>
    <t xml:space="preserve"> VIOLATIONS BOATING UNDER INFLUENCE WITH BREATHALYZER</t>
  </si>
  <si>
    <t>3% COLLECTION FEE (TO COUNTY)</t>
  </si>
  <si>
    <t>FRAUD CHECK (TO COUNTY)</t>
  </si>
  <si>
    <t>COUNTY GENERAL FUND (TO COUNTY)</t>
  </si>
  <si>
    <t>SINGLE PAYMENT</t>
  </si>
  <si>
    <t>MULTIPLE PAYMENTS</t>
  </si>
  <si>
    <t>BEFORE AUGUST 19, 2003</t>
  </si>
  <si>
    <t>TOTAL COLLECTED / PAYMENTS</t>
  </si>
  <si>
    <t>FRAUDULENT CHECK
1ST OFFENSE WITH RESTITUTION DISMISSED</t>
  </si>
  <si>
    <t>$50.00 BOATING BREATH TEST (SLED)</t>
  </si>
  <si>
    <t>DEPARTMENT OF PUBLIC SAFETY HIGHWAY PATROL</t>
  </si>
  <si>
    <t>35.35% TO VICTIM FUND (TO COUNTY)</t>
  </si>
  <si>
    <t>64.65% TO STATE TREASURER</t>
  </si>
  <si>
    <t>COUNTY GENERAL FUND (TO COUNTY) 56%</t>
  </si>
  <si>
    <t>STATE GENERAL FUND 44%</t>
  </si>
  <si>
    <t>SLED</t>
  </si>
  <si>
    <t>FELONY DRIVING UNDER INFLUENCE</t>
  </si>
  <si>
    <t>GENERAL SESSIONS COURT FINE</t>
  </si>
  <si>
    <t>DRUG VIOLATIONS</t>
  </si>
  <si>
    <t>GENERAL SESSIONS</t>
  </si>
  <si>
    <t>11.  $40.00 VEHICLE TAGS</t>
  </si>
  <si>
    <t>MUNICIPAL COURT FINE</t>
  </si>
  <si>
    <r>
      <t xml:space="preserve">88.84% TO STATE TREASURER </t>
    </r>
    <r>
      <rPr>
        <sz val="9"/>
        <color indexed="10"/>
        <rFont val="Arial"/>
        <family val="2"/>
      </rPr>
      <t>14-1-207</t>
    </r>
  </si>
  <si>
    <t>DRIVING UNDER SUSPENSION</t>
  </si>
  <si>
    <t>SEAT BELT</t>
  </si>
  <si>
    <r>
      <t xml:space="preserve">TOTAL OF </t>
    </r>
    <r>
      <rPr>
        <b/>
        <sz val="9"/>
        <color indexed="10"/>
        <rFont val="Arial"/>
        <family val="2"/>
      </rPr>
      <t>EACH PAYMENT</t>
    </r>
  </si>
  <si>
    <t>PARKING VIOLATIONS</t>
  </si>
  <si>
    <t>11. CRIMINAL JUSTICE ACADEMY FUNDING</t>
  </si>
  <si>
    <t>12.  $5.00 CRIMINAL JUSTICE ACADEMY</t>
  </si>
  <si>
    <t>13. $25.00 SLED BREATH TEST FEE</t>
  </si>
  <si>
    <t>$25.00 DUI SLED BREATH TEST FEE</t>
  </si>
  <si>
    <r>
      <t xml:space="preserve"> VIOLATIONS SECTION
50-21-ALL </t>
    </r>
    <r>
      <rPr>
        <b/>
        <sz val="10"/>
        <color indexed="10"/>
        <rFont val="Arial"/>
        <family val="2"/>
      </rPr>
      <t>25% COUNTY</t>
    </r>
  </si>
  <si>
    <r>
      <t xml:space="preserve">CARRIERS OF HOUSEHOLD GOODS &amp; HAZARDOUS WASTE  </t>
    </r>
    <r>
      <rPr>
        <b/>
        <sz val="10"/>
        <color indexed="10"/>
        <rFont val="Arial"/>
        <family val="2"/>
      </rPr>
      <t>25% COUNTY</t>
    </r>
  </si>
  <si>
    <t xml:space="preserve">  4. 73.3 (B) TP LAW ENFORCEMENT FUNDING</t>
  </si>
  <si>
    <t>FRAUDULENT CHECK
1ST OFFENSE WITH RESTITUTION DISMISSES</t>
  </si>
  <si>
    <t>$ 25.00 VICTIM FUNDING</t>
  </si>
  <si>
    <t>11.16% TO VICTIM FUND (TO COUNTY)</t>
  </si>
  <si>
    <t xml:space="preserve">  5.  14-1-211 DUI MUSC FUNDING</t>
  </si>
  <si>
    <t>OFFICE OF REGULATORY STAFF</t>
  </si>
  <si>
    <t>DUI / DUAC</t>
  </si>
  <si>
    <t>MAGISTRATE COURT</t>
  </si>
  <si>
    <r>
      <t xml:space="preserve">TOTAL OF </t>
    </r>
    <r>
      <rPr>
        <b/>
        <sz val="10"/>
        <color indexed="10"/>
        <rFont val="Arial"/>
        <family val="2"/>
      </rPr>
      <t>EACH PAYMENT</t>
    </r>
  </si>
  <si>
    <t>FROM AUGUST 19, 2003 TO FEBRUARY 10, 2009</t>
  </si>
  <si>
    <t>$150.00 DRUG COURT</t>
  </si>
  <si>
    <t>CONDITIONAL DISCHARGE</t>
  </si>
  <si>
    <t>14. $150.00 CONDITIONAL DISCHARGE</t>
  </si>
  <si>
    <t>$150.00 CONDITIONAL DISCHARGE</t>
  </si>
  <si>
    <t>$350.00 CONDITIONAL DISCHARGE</t>
  </si>
  <si>
    <t>$ 100.00 DUI MUSC FUNDING</t>
  </si>
  <si>
    <t>2ND &amp; SUB DUI / DUAC</t>
  </si>
  <si>
    <t>DUI / DUAC 1ST, 2ND, 4TH &amp; SUB</t>
  </si>
  <si>
    <t>&lt;------------------------------------------------  AFTER FEBRUARY 10, 2009  ------------------------------------------------&gt;</t>
  </si>
  <si>
    <t>14.  $350.00 CONDITIONAL DISCHARGE</t>
  </si>
  <si>
    <t>Before June 2, 2010</t>
  </si>
  <si>
    <t>After June 2, 2010</t>
  </si>
  <si>
    <t>$100.00 or $150.00 DRUG COURT</t>
  </si>
  <si>
    <t>NO BA TEST</t>
  </si>
  <si>
    <t>WITH BA TEST</t>
  </si>
  <si>
    <t>&lt;----------------------AFTER FEBRUARY 10, 2009---------------------&gt;</t>
  </si>
  <si>
    <t xml:space="preserve">  7.  33.7 (1B) TP DRUG COURT$100.00 OR $150.00</t>
  </si>
  <si>
    <t>Traffic Tickets</t>
  </si>
  <si>
    <t>Criminal &amp; City Ordinances</t>
  </si>
  <si>
    <t>STATE AVIATION FUND</t>
  </si>
  <si>
    <t>$40.00 VEHICLE TAG CHARGE (No longer Collected by Court)</t>
  </si>
  <si>
    <t>SOUTH CAROLINA VICTIM'S COMPENSATION FUND</t>
  </si>
  <si>
    <t>CRIMINAL NEGLIGENT USE OF FIREARMS/ARCHERY TACKLE</t>
  </si>
  <si>
    <r>
      <t xml:space="preserve">DUI / DUAC </t>
    </r>
    <r>
      <rPr>
        <b/>
        <sz val="10"/>
        <color indexed="10"/>
        <rFont val="Arial"/>
        <family val="2"/>
      </rPr>
      <t>3RD ONLY</t>
    </r>
    <r>
      <rPr>
        <b/>
        <sz val="10"/>
        <rFont val="Arial"/>
        <family val="2"/>
      </rPr>
      <t xml:space="preserve"> </t>
    </r>
  </si>
  <si>
    <r>
      <t xml:space="preserve">DUI / DUAC 1ST, 2ND, 4TH &amp; SUB </t>
    </r>
    <r>
      <rPr>
        <b/>
        <i/>
        <sz val="10"/>
        <color indexed="53"/>
        <rFont val="Arial"/>
        <family val="2"/>
      </rPr>
      <t>(NO BREATH TEST)</t>
    </r>
  </si>
  <si>
    <r>
      <t xml:space="preserve">DUI / DUAC </t>
    </r>
    <r>
      <rPr>
        <b/>
        <sz val="10"/>
        <color indexed="10"/>
        <rFont val="Arial"/>
        <family val="2"/>
      </rPr>
      <t>3RD ONLY</t>
    </r>
    <r>
      <rPr>
        <b/>
        <sz val="10"/>
        <rFont val="Arial"/>
        <family val="2"/>
      </rPr>
      <t xml:space="preserve"> 
</t>
    </r>
    <r>
      <rPr>
        <b/>
        <i/>
        <sz val="10"/>
        <color indexed="53"/>
        <rFont val="Arial"/>
        <family val="2"/>
      </rPr>
      <t>(NO BREATH TEST)</t>
    </r>
  </si>
  <si>
    <t>SHELLFISH LAWS</t>
  </si>
  <si>
    <t xml:space="preserve">DEPARTMENT OF HEALTY &amp; ENVIRONMENTAL CONTROL </t>
  </si>
  <si>
    <r>
      <t xml:space="preserve">TOBACCO TO MINOR </t>
    </r>
    <r>
      <rPr>
        <b/>
        <sz val="10"/>
        <color indexed="10"/>
        <rFont val="Arial"/>
        <family val="2"/>
      </rPr>
      <t xml:space="preserve">CIVIL PENALTY
§ </t>
    </r>
    <r>
      <rPr>
        <b/>
        <sz val="10"/>
        <color indexed="10"/>
        <rFont val="Arial"/>
        <family val="2"/>
      </rPr>
      <t>16-17-500</t>
    </r>
  </si>
  <si>
    <r>
      <t xml:space="preserve">DEPARTMENT OF PUBLIC SAFETY WORK ZONE ENFORCEMENT </t>
    </r>
    <r>
      <rPr>
        <sz val="9"/>
        <color indexed="10"/>
        <rFont val="Arial"/>
        <family val="2"/>
      </rPr>
      <t>65%</t>
    </r>
  </si>
  <si>
    <r>
      <t xml:space="preserve">DEPARTMENT OF PUBLIC SAFETY HIRE OFF-DUTY OFFICERS </t>
    </r>
    <r>
      <rPr>
        <sz val="9"/>
        <color indexed="10"/>
        <rFont val="Arial"/>
        <family val="2"/>
      </rPr>
      <t>25%</t>
    </r>
  </si>
  <si>
    <r>
      <t xml:space="preserve">TRANSPORRATION NETWORK COMPANT
 </t>
    </r>
    <r>
      <rPr>
        <b/>
        <sz val="10"/>
        <color indexed="10"/>
        <rFont val="Arial"/>
        <family val="2"/>
      </rPr>
      <t>§ 58-23-1680</t>
    </r>
    <r>
      <rPr>
        <b/>
        <sz val="10"/>
        <rFont val="Arial"/>
        <family val="2"/>
      </rPr>
      <t xml:space="preserve">
</t>
    </r>
  </si>
  <si>
    <r>
      <t xml:space="preserve">TEXTING &amp; DRIVING
</t>
    </r>
    <r>
      <rPr>
        <b/>
        <sz val="10"/>
        <color indexed="10"/>
        <rFont val="Arial"/>
        <family val="2"/>
      </rPr>
      <t>WARNING TICKET ONLY UNTIL
DECEMBER 7, 2014</t>
    </r>
    <r>
      <rPr>
        <b/>
        <sz val="10"/>
        <rFont val="Arial"/>
        <family val="2"/>
      </rPr>
      <t xml:space="preserve">
</t>
    </r>
    <r>
      <rPr>
        <b/>
        <sz val="10"/>
        <color indexed="10"/>
        <rFont val="Arial"/>
        <family val="2"/>
      </rPr>
      <t>§ 56-5-3890</t>
    </r>
  </si>
  <si>
    <r>
      <t xml:space="preserve">FAILURE TO USE TURN SIGNAL
</t>
    </r>
    <r>
      <rPr>
        <b/>
        <sz val="10"/>
        <color indexed="10"/>
        <rFont val="Arial"/>
        <family val="2"/>
      </rPr>
      <t>§ 56-5-2150</t>
    </r>
  </si>
  <si>
    <r>
      <t xml:space="preserve">CRIMINAL NEGLIGENT USE OF FIREARMS/ARCHERY TACKLE 
</t>
    </r>
    <r>
      <rPr>
        <b/>
        <sz val="10"/>
        <color indexed="10"/>
        <rFont val="Arial"/>
        <family val="2"/>
      </rPr>
      <t>§ 50-1-85</t>
    </r>
  </si>
  <si>
    <r>
      <t xml:space="preserve">SEAT BELT 
</t>
    </r>
    <r>
      <rPr>
        <b/>
        <sz val="10"/>
        <color indexed="10"/>
        <rFont val="Arial"/>
        <family val="2"/>
      </rPr>
      <t>§ 56-5-6540</t>
    </r>
  </si>
  <si>
    <r>
      <t xml:space="preserve">CARRIERS OF HOUSEHOLD GOODS &amp; HAZARDOUS WASTE 
</t>
    </r>
    <r>
      <rPr>
        <b/>
        <sz val="10"/>
        <color indexed="10"/>
        <rFont val="Arial"/>
        <family val="2"/>
      </rPr>
      <t>§ 58-23-590(E)</t>
    </r>
  </si>
  <si>
    <r>
      <t xml:space="preserve">AXLE WEIGHT VIOLATIONS 
</t>
    </r>
    <r>
      <rPr>
        <b/>
        <sz val="10"/>
        <color indexed="10"/>
        <rFont val="Arial"/>
        <family val="2"/>
      </rPr>
      <t>§ 56-5-4160</t>
    </r>
  </si>
  <si>
    <r>
      <t xml:space="preserve"> VIOLATIONS SECTION 
</t>
    </r>
    <r>
      <rPr>
        <b/>
        <sz val="10"/>
        <color indexed="10"/>
        <rFont val="Arial"/>
        <family val="2"/>
      </rPr>
      <t>§ 50-21-ALL</t>
    </r>
  </si>
  <si>
    <r>
      <t xml:space="preserve"> VIOLATIONS BOATING UNDER INFLUENCE WITH BREATHALYZER 
</t>
    </r>
    <r>
      <rPr>
        <b/>
        <sz val="10"/>
        <color indexed="10"/>
        <rFont val="Arial"/>
        <family val="2"/>
      </rPr>
      <t>§ 50-21-114</t>
    </r>
  </si>
  <si>
    <t>SHELLFISH LAWS §
 44-1-152</t>
  </si>
  <si>
    <r>
      <t>INSURANCE FRAUD</t>
    </r>
    <r>
      <rPr>
        <b/>
        <sz val="10"/>
        <color indexed="10"/>
        <rFont val="Arial"/>
        <family val="2"/>
      </rPr>
      <t xml:space="preserve"> 
§ 17-15-260</t>
    </r>
  </si>
  <si>
    <r>
      <t xml:space="preserve">BOND ESTREATMENTS 
</t>
    </r>
    <r>
      <rPr>
        <b/>
        <sz val="10"/>
        <color indexed="10"/>
        <rFont val="Arial"/>
        <family val="2"/>
      </rPr>
      <t>§ 17-15-260</t>
    </r>
  </si>
  <si>
    <r>
      <t xml:space="preserve">CONDITIONAL DISCHARGE 
</t>
    </r>
    <r>
      <rPr>
        <b/>
        <sz val="10"/>
        <color indexed="10"/>
        <rFont val="Arial"/>
        <family val="2"/>
      </rPr>
      <t>§ 44-53-450(C)</t>
    </r>
  </si>
  <si>
    <r>
      <t xml:space="preserve">SIMPLE POSSESSION OF MARIJUANA 
</t>
    </r>
    <r>
      <rPr>
        <b/>
        <sz val="10"/>
        <color indexed="10"/>
        <rFont val="Arial"/>
        <family val="2"/>
      </rPr>
      <t>§ 44-53-370(d)(4)</t>
    </r>
  </si>
  <si>
    <r>
      <t xml:space="preserve">ENDANGERMENY OF A HIGHWAY WORKER 
</t>
    </r>
    <r>
      <rPr>
        <b/>
        <sz val="10"/>
        <color indexed="10"/>
        <rFont val="Arial"/>
        <family val="2"/>
      </rPr>
      <t xml:space="preserve">§ 56-5-1535  
MAGISTRATE AND MUNICIPAL COURT HAVE EXCLUSIVE JURIDDICTION </t>
    </r>
  </si>
  <si>
    <t>MUNICIPAL COURT</t>
  </si>
  <si>
    <t>MUNICIPAL ORDINANCE VIOLATIONS</t>
  </si>
  <si>
    <t>3% COLLECTION FEE (TO MUNICIPALITY)</t>
  </si>
  <si>
    <t>FRAUD CHECK (TO MUNICIPALITY)</t>
  </si>
  <si>
    <t>11.16% TO VICTIM FUND (TO MUNICIPALITY)</t>
  </si>
  <si>
    <t>MUNICIPALITY GENERAL FUND (TO MUNICIPALITY)</t>
  </si>
  <si>
    <t>TOTAL</t>
  </si>
  <si>
    <t>FINE</t>
  </si>
  <si>
    <r>
      <t xml:space="preserve">DEPARTMENT OF PUBLIC SAFETY WORK ZONE ENFORCEMENT </t>
    </r>
    <r>
      <rPr>
        <b/>
        <sz val="9"/>
        <color indexed="10"/>
        <rFont val="Arial"/>
        <family val="2"/>
      </rPr>
      <t>65%</t>
    </r>
  </si>
  <si>
    <r>
      <t xml:space="preserve">DEPARTMENT OF PUBLIC SAFETY HIRE OFF-DUTY OFFICERS </t>
    </r>
    <r>
      <rPr>
        <b/>
        <sz val="9"/>
        <color indexed="10"/>
        <rFont val="Arial"/>
        <family val="2"/>
      </rPr>
      <t>25%</t>
    </r>
  </si>
  <si>
    <r>
      <t xml:space="preserve">TOBACCO TO MINOR 
</t>
    </r>
    <r>
      <rPr>
        <b/>
        <sz val="10"/>
        <color indexed="10"/>
        <rFont val="Arial"/>
        <family val="2"/>
      </rPr>
      <t xml:space="preserve">CIVIL PENALTY
§ </t>
    </r>
    <r>
      <rPr>
        <b/>
        <sz val="10"/>
        <color indexed="10"/>
        <rFont val="Arial"/>
        <family val="2"/>
      </rPr>
      <t>16-17-500</t>
    </r>
  </si>
  <si>
    <t>CDR Code</t>
  </si>
  <si>
    <t>Mandatory Litter Pick Up</t>
  </si>
  <si>
    <r>
      <t xml:space="preserve">CRIMINAL VIOLATION
</t>
    </r>
    <r>
      <rPr>
        <b/>
        <sz val="12"/>
        <color rgb="FFFF0000"/>
        <rFont val="Arial"/>
        <family val="2"/>
      </rPr>
      <t>Littering Only
16-11-700</t>
    </r>
  </si>
  <si>
    <t>LAST UPDATED 11/17/2020</t>
  </si>
  <si>
    <t>UPDATED 11/17/2020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</si>
</sst>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8" formatCode="&quot;$&quot;#,##0.00_);[Red]\(&quot;$&quot;#,##0.00\)"/>
    <numFmt numFmtId="44" formatCode="_(&quot;$&quot;* #,##0.00_);_(&quot;$&quot;* \(#,##0.00\);_(&quot;$&quot;* &quot;-&quot;??_);_(@_)"/>
    <numFmt numFmtId="43" formatCode="_(* #,##0.00_);_(* \(#,##0.00\);_(* &quot;-&quot;??_);_(@_)"/>
    <numFmt numFmtId="164" formatCode="_(&quot;$&quot;* #,##0.0_);_(&quot;$&quot;* \(#,##0.0\);_(&quot;$&quot;* &quot;-&quot;??_);_(@_)"/>
  </numFmts>
  <fonts count="58" x14ac:knownFonts="1">
    <font>
      <sz val="10"/>
      <name val="Arial"/>
    </font>
    <font>
      <sz val="10"/>
      <name val="Arial"/>
    </font>
    <font>
      <sz val="9"/>
      <name val="Arial"/>
      <family val="2"/>
    </font>
    <font>
      <b/>
      <sz val="9"/>
      <name val="Arial"/>
      <family val="2"/>
    </font>
    <font>
      <b/>
      <sz val="10"/>
      <name val="Arial"/>
      <family val="2"/>
    </font>
    <font>
      <sz val="10"/>
      <color indexed="10"/>
      <name val="Arial"/>
      <family val="2"/>
    </font>
    <font>
      <b/>
      <sz val="9"/>
      <color indexed="10"/>
      <name val="Arial"/>
      <family val="2"/>
    </font>
    <font>
      <sz val="8"/>
      <color indexed="81"/>
      <name val="Tahoma"/>
    </font>
    <font>
      <b/>
      <sz val="8"/>
      <color indexed="81"/>
      <name val="Tahoma"/>
    </font>
    <font>
      <sz val="10"/>
      <name val="Arial"/>
      <family val="2"/>
    </font>
    <font>
      <sz val="10"/>
      <color indexed="43"/>
      <name val="Arial"/>
      <family val="2"/>
    </font>
    <font>
      <b/>
      <sz val="10"/>
      <color indexed="10"/>
      <name val="Arial"/>
      <family val="2"/>
    </font>
    <font>
      <b/>
      <sz val="12"/>
      <color indexed="10"/>
      <name val="Arial"/>
      <family val="2"/>
    </font>
    <font>
      <sz val="10"/>
      <color indexed="10"/>
      <name val="Arial"/>
    </font>
    <font>
      <sz val="9"/>
      <color indexed="10"/>
      <name val="Arial"/>
      <family val="2"/>
    </font>
    <font>
      <sz val="10"/>
      <color indexed="43"/>
      <name val="Arial"/>
    </font>
    <font>
      <b/>
      <sz val="12"/>
      <color indexed="81"/>
      <name val="Tahoma"/>
      <family val="2"/>
    </font>
    <font>
      <sz val="12"/>
      <color indexed="81"/>
      <name val="Tahoma"/>
      <family val="2"/>
    </font>
    <font>
      <sz val="8"/>
      <color indexed="81"/>
      <name val="Tahoma"/>
      <family val="2"/>
    </font>
    <font>
      <sz val="12"/>
      <color indexed="10"/>
      <name val="Tahoma"/>
      <family val="2"/>
    </font>
    <font>
      <b/>
      <sz val="12"/>
      <color indexed="10"/>
      <name val="Tahoma"/>
      <family val="2"/>
    </font>
    <font>
      <b/>
      <u/>
      <sz val="12"/>
      <color indexed="10"/>
      <name val="Tahoma"/>
      <family val="2"/>
    </font>
    <font>
      <b/>
      <sz val="14"/>
      <color indexed="10"/>
      <name val="Tahoma"/>
      <family val="2"/>
    </font>
    <font>
      <b/>
      <sz val="14"/>
      <color indexed="10"/>
      <name val="Arial"/>
      <family val="2"/>
    </font>
    <font>
      <b/>
      <sz val="10"/>
      <color indexed="81"/>
      <name val="Tahoma"/>
      <family val="2"/>
    </font>
    <font>
      <sz val="10"/>
      <color indexed="81"/>
      <name val="Tahoma"/>
      <family val="2"/>
    </font>
    <font>
      <u/>
      <sz val="10"/>
      <color indexed="10"/>
      <name val="Tahoma"/>
      <family val="2"/>
    </font>
    <font>
      <sz val="9"/>
      <color indexed="81"/>
      <name val="Tahoma"/>
      <family val="2"/>
    </font>
    <font>
      <sz val="10"/>
      <name val="Arial"/>
    </font>
    <font>
      <b/>
      <sz val="12"/>
      <color indexed="39"/>
      <name val="Tahoma"/>
      <family val="2"/>
    </font>
    <font>
      <b/>
      <sz val="12"/>
      <color indexed="12"/>
      <name val="Tahoma"/>
      <family val="2"/>
    </font>
    <font>
      <b/>
      <sz val="11"/>
      <color indexed="81"/>
      <name val="Tahoma"/>
      <family val="2"/>
    </font>
    <font>
      <b/>
      <sz val="11"/>
      <color indexed="10"/>
      <name val="Tahoma"/>
      <family val="2"/>
    </font>
    <font>
      <sz val="12"/>
      <color indexed="12"/>
      <name val="Tahoma"/>
      <family val="2"/>
    </font>
    <font>
      <b/>
      <sz val="11"/>
      <color indexed="12"/>
      <name val="Tahoma"/>
      <family val="2"/>
    </font>
    <font>
      <b/>
      <sz val="9"/>
      <color indexed="81"/>
      <name val="Tahoma"/>
      <family val="2"/>
    </font>
    <font>
      <b/>
      <sz val="12"/>
      <color indexed="81"/>
      <name val="Arial"/>
      <family val="2"/>
    </font>
    <font>
      <b/>
      <i/>
      <sz val="10"/>
      <color indexed="53"/>
      <name val="Arial"/>
      <family val="2"/>
    </font>
    <font>
      <sz val="9"/>
      <color indexed="81"/>
      <name val="Tahoma"/>
      <charset val="1"/>
    </font>
    <font>
      <b/>
      <sz val="9"/>
      <color indexed="81"/>
      <name val="Tahoma"/>
      <charset val="1"/>
    </font>
    <font>
      <b/>
      <sz val="12"/>
      <color indexed="81"/>
      <name val="Times New Roman"/>
      <family val="1"/>
    </font>
    <font>
      <b/>
      <sz val="12"/>
      <color indexed="10"/>
      <name val="Times New Roman"/>
      <family val="1"/>
    </font>
    <font>
      <sz val="11"/>
      <color indexed="81"/>
      <name val="Tahoma"/>
      <family val="2"/>
    </font>
    <font>
      <sz val="11"/>
      <color indexed="10"/>
      <name val="Tahoma"/>
      <family val="2"/>
    </font>
    <font>
      <b/>
      <sz val="10"/>
      <color rgb="FF0070C0"/>
      <name val="Arial"/>
      <family val="2"/>
    </font>
    <font>
      <b/>
      <sz val="9"/>
      <color rgb="FFFF0000"/>
      <name val="Arial"/>
      <family val="2"/>
    </font>
    <font>
      <b/>
      <sz val="9"/>
      <color rgb="FF0070C0"/>
      <name val="Arial"/>
      <family val="2"/>
    </font>
    <font>
      <b/>
      <sz val="10"/>
      <color rgb="FFFF0000"/>
      <name val="Arial"/>
      <family val="2"/>
    </font>
    <font>
      <sz val="10"/>
      <color rgb="FFFF0000"/>
      <name val="Arial"/>
      <family val="2"/>
    </font>
    <font>
      <b/>
      <sz val="10"/>
      <color theme="1"/>
      <name val="Arial"/>
      <family val="2"/>
    </font>
    <font>
      <b/>
      <sz val="12"/>
      <color rgb="FFFF0000"/>
      <name val="Arial"/>
      <family val="2"/>
    </font>
    <font>
      <b/>
      <sz val="12"/>
      <name val="Arial"/>
      <family val="2"/>
    </font>
    <font>
      <sz val="14"/>
      <color rgb="FFFF0000"/>
      <name val="Arial"/>
      <family val="2"/>
    </font>
    <font>
      <sz val="12"/>
      <name val="Arial"/>
      <family val="2"/>
    </font>
    <font>
      <sz val="12"/>
      <color rgb="FFFF0000"/>
      <name val="Arial"/>
      <family val="2"/>
    </font>
    <font>
      <sz val="14"/>
      <color indexed="81"/>
      <name val="Tahoma"/>
      <family val="2"/>
    </font>
    <font>
      <sz val="14"/>
      <color indexed="10"/>
      <name val="Tahoma"/>
      <family val="2"/>
    </font>
    <font>
      <b/>
      <sz val="14"/>
      <color indexed="81"/>
      <name val="Tahoma"/>
      <family val="2"/>
    </font>
  </fonts>
  <fills count="1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8BF52B"/>
        <bgColor indexed="64"/>
      </patternFill>
    </fill>
    <fill>
      <patternFill patternType="solid">
        <fgColor rgb="FFA8F42C"/>
        <bgColor indexed="64"/>
      </patternFill>
    </fill>
    <fill>
      <patternFill patternType="solid">
        <fgColor rgb="FF92D050"/>
        <bgColor indexed="64"/>
      </patternFill>
    </fill>
    <fill>
      <patternFill patternType="solid">
        <fgColor rgb="FFFFFF00"/>
        <bgColor indexed="64"/>
      </patternFill>
    </fill>
    <fill>
      <patternFill patternType="solid">
        <fgColor theme="9" tint="-0.24994659260841701"/>
        <bgColor indexed="64"/>
      </patternFill>
    </fill>
    <fill>
      <patternFill patternType="solid">
        <fgColor rgb="FFFF0000"/>
        <bgColor indexed="64"/>
      </patternFill>
    </fill>
    <fill>
      <patternFill patternType="solid">
        <fgColor theme="9" tint="-0.249977111117893"/>
        <bgColor indexed="64"/>
      </patternFill>
    </fill>
    <fill>
      <patternFill patternType="solid">
        <fgColor rgb="FFFFFF99"/>
        <bgColor indexed="64"/>
      </patternFill>
    </fill>
  </fills>
  <borders count="105">
    <border>
      <left/>
      <right/>
      <top/>
      <bottom/>
      <diagonal/>
    </border>
    <border>
      <left style="hair">
        <color indexed="64"/>
      </left>
      <right style="hair">
        <color indexed="64"/>
      </right>
      <top/>
      <bottom style="hair">
        <color indexed="64"/>
      </bottom>
      <diagonal/>
    </border>
    <border>
      <left style="medium">
        <color indexed="64"/>
      </left>
      <right style="medium">
        <color indexed="64"/>
      </right>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medium">
        <color indexed="64"/>
      </right>
      <top style="hair">
        <color indexed="64"/>
      </top>
      <bottom style="hair">
        <color indexed="64"/>
      </bottom>
      <diagonal/>
    </border>
    <border>
      <left style="hair">
        <color indexed="64"/>
      </left>
      <right style="thick">
        <color indexed="64"/>
      </right>
      <top style="hair">
        <color indexed="64"/>
      </top>
      <bottom style="hair">
        <color indexed="64"/>
      </bottom>
      <diagonal/>
    </border>
    <border>
      <left/>
      <right style="medium">
        <color indexed="64"/>
      </right>
      <top style="hair">
        <color indexed="64"/>
      </top>
      <bottom/>
      <diagonal/>
    </border>
    <border>
      <left/>
      <right style="medium">
        <color indexed="64"/>
      </right>
      <top/>
      <bottom style="hair">
        <color indexed="64"/>
      </bottom>
      <diagonal/>
    </border>
    <border>
      <left style="mediumDashed">
        <color indexed="10"/>
      </left>
      <right style="mediumDashed">
        <color indexed="10"/>
      </right>
      <top style="mediumDashed">
        <color indexed="10"/>
      </top>
      <bottom style="mediumDashed">
        <color indexed="10"/>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hair">
        <color indexed="64"/>
      </left>
      <right style="thick">
        <color indexed="64"/>
      </right>
      <top/>
      <bottom style="hair">
        <color indexed="64"/>
      </bottom>
      <diagonal/>
    </border>
    <border>
      <left/>
      <right style="hair">
        <color indexed="64"/>
      </right>
      <top style="hair">
        <color indexed="64"/>
      </top>
      <bottom style="hair">
        <color indexed="64"/>
      </bottom>
      <diagonal/>
    </border>
    <border>
      <left/>
      <right style="medium">
        <color indexed="64"/>
      </right>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medium">
        <color indexed="64"/>
      </left>
      <right style="thick">
        <color indexed="64"/>
      </right>
      <top style="thick">
        <color indexed="64"/>
      </top>
      <bottom style="medium">
        <color indexed="64"/>
      </bottom>
      <diagonal/>
    </border>
    <border>
      <left style="hair">
        <color indexed="64"/>
      </left>
      <right style="thick">
        <color indexed="64"/>
      </right>
      <top style="medium">
        <color indexed="64"/>
      </top>
      <bottom style="hair">
        <color indexed="64"/>
      </bottom>
      <diagonal/>
    </border>
    <border>
      <left style="hair">
        <color indexed="64"/>
      </left>
      <right style="thick">
        <color indexed="64"/>
      </right>
      <top style="hair">
        <color indexed="64"/>
      </top>
      <bottom/>
      <diagonal/>
    </border>
    <border>
      <left style="medium">
        <color indexed="64"/>
      </left>
      <right/>
      <top/>
      <bottom style="medium">
        <color indexed="64"/>
      </bottom>
      <diagonal/>
    </border>
    <border>
      <left style="hair">
        <color indexed="64"/>
      </left>
      <right/>
      <top style="medium">
        <color indexed="64"/>
      </top>
      <bottom style="hair">
        <color indexed="64"/>
      </bottom>
      <diagonal/>
    </border>
    <border>
      <left style="hair">
        <color indexed="64"/>
      </left>
      <right/>
      <top style="hair">
        <color indexed="64"/>
      </top>
      <bottom/>
      <diagonal/>
    </border>
    <border>
      <left style="thick">
        <color indexed="64"/>
      </left>
      <right style="hair">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style="thick">
        <color indexed="64"/>
      </left>
      <right/>
      <top style="thick">
        <color indexed="64"/>
      </top>
      <bottom/>
      <diagonal/>
    </border>
    <border>
      <left/>
      <right/>
      <top style="thick">
        <color indexed="64"/>
      </top>
      <bottom/>
      <diagonal/>
    </border>
    <border>
      <left style="thick">
        <color indexed="64"/>
      </left>
      <right style="thick">
        <color indexed="64"/>
      </right>
      <top style="thick">
        <color indexed="64"/>
      </top>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diagonal/>
    </border>
    <border>
      <left style="hair">
        <color indexed="64"/>
      </left>
      <right style="medium">
        <color indexed="64"/>
      </right>
      <top/>
      <bottom style="hair">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right/>
      <top/>
      <bottom style="thick">
        <color indexed="64"/>
      </bottom>
      <diagonal/>
    </border>
    <border>
      <left/>
      <right style="thick">
        <color indexed="64"/>
      </right>
      <top style="hair">
        <color indexed="64"/>
      </top>
      <bottom style="thick">
        <color indexed="64"/>
      </bottom>
      <diagonal/>
    </border>
    <border>
      <left style="thick">
        <color indexed="64"/>
      </left>
      <right style="hair">
        <color indexed="64"/>
      </right>
      <top style="hair">
        <color indexed="64"/>
      </top>
      <bottom style="thick">
        <color indexed="64"/>
      </bottom>
      <diagonal/>
    </border>
    <border>
      <left style="thick">
        <color indexed="64"/>
      </left>
      <right/>
      <top/>
      <bottom style="thick">
        <color indexed="64"/>
      </bottom>
      <diagonal/>
    </border>
    <border>
      <left/>
      <right style="thick">
        <color indexed="64"/>
      </right>
      <top style="thick">
        <color indexed="64"/>
      </top>
      <bottom/>
      <diagonal/>
    </border>
    <border>
      <left/>
      <right style="mediumDashDot">
        <color rgb="FFFF0000"/>
      </right>
      <top style="mediumDashDot">
        <color rgb="FFFF0000"/>
      </top>
      <bottom style="mediumDashDot">
        <color rgb="FFFF0000"/>
      </bottom>
      <diagonal/>
    </border>
    <border>
      <left style="mediumDashDot">
        <color rgb="FFFF0000"/>
      </left>
      <right style="mediumDashDot">
        <color rgb="FFFF0000"/>
      </right>
      <top style="mediumDashDot">
        <color rgb="FFFF0000"/>
      </top>
      <bottom style="mediumDashDot">
        <color rgb="FFFF0000"/>
      </bottom>
      <diagonal/>
    </border>
    <border>
      <left/>
      <right style="mediumDashed">
        <color rgb="FFFF0000"/>
      </right>
      <top style="mediumDashed">
        <color rgb="FFFF0000"/>
      </top>
      <bottom style="mediumDashed">
        <color rgb="FFFF0000"/>
      </bottom>
      <diagonal/>
    </border>
    <border>
      <left style="mediumDashed">
        <color rgb="FFFF0000"/>
      </left>
      <right style="mediumDashed">
        <color rgb="FFFF0000"/>
      </right>
      <top style="mediumDashed">
        <color rgb="FFFF0000"/>
      </top>
      <bottom style="mediumDashed">
        <color rgb="FFFF0000"/>
      </bottom>
      <diagonal/>
    </border>
    <border>
      <left style="mediumDashDot">
        <color rgb="FFFF0000"/>
      </left>
      <right style="thick">
        <color indexed="64"/>
      </right>
      <top style="mediumDashDot">
        <color rgb="FFFF0000"/>
      </top>
      <bottom style="mediumDashDot">
        <color rgb="FFFF0000"/>
      </bottom>
      <diagonal/>
    </border>
    <border>
      <left style="mediumDashed">
        <color rgb="FFFF0000"/>
      </left>
      <right style="thick">
        <color indexed="64"/>
      </right>
      <top style="mediumDashed">
        <color rgb="FFFF0000"/>
      </top>
      <bottom style="mediumDashed">
        <color rgb="FFFF0000"/>
      </bottom>
      <diagonal/>
    </border>
    <border>
      <left style="mediumDashDot">
        <color rgb="FFFF0000"/>
      </left>
      <right/>
      <top style="mediumDashDot">
        <color rgb="FFFF0000"/>
      </top>
      <bottom style="mediumDashDot">
        <color rgb="FFFF0000"/>
      </bottom>
      <diagonal/>
    </border>
    <border>
      <left style="medium">
        <color indexed="64"/>
      </left>
      <right style="thick">
        <color rgb="FFFF0000"/>
      </right>
      <top style="thick">
        <color indexed="64"/>
      </top>
      <bottom style="medium">
        <color indexed="64"/>
      </bottom>
      <diagonal/>
    </border>
    <border>
      <left style="hair">
        <color indexed="64"/>
      </left>
      <right style="thick">
        <color rgb="FFFF0000"/>
      </right>
      <top style="medium">
        <color indexed="64"/>
      </top>
      <bottom style="hair">
        <color indexed="64"/>
      </bottom>
      <diagonal/>
    </border>
    <border>
      <left style="hair">
        <color indexed="64"/>
      </left>
      <right style="thick">
        <color rgb="FFFF0000"/>
      </right>
      <top style="hair">
        <color indexed="64"/>
      </top>
      <bottom style="hair">
        <color indexed="64"/>
      </bottom>
      <diagonal/>
    </border>
    <border>
      <left style="hair">
        <color indexed="64"/>
      </left>
      <right style="thick">
        <color rgb="FFFF0000"/>
      </right>
      <top style="hair">
        <color indexed="64"/>
      </top>
      <bottom/>
      <diagonal/>
    </border>
    <border>
      <left style="mediumDashDot">
        <color rgb="FFFF0000"/>
      </left>
      <right style="thick">
        <color rgb="FFFF0000"/>
      </right>
      <top style="mediumDashDot">
        <color rgb="FFFF0000"/>
      </top>
      <bottom style="mediumDashDot">
        <color rgb="FFFF0000"/>
      </bottom>
      <diagonal/>
    </border>
    <border>
      <left style="hair">
        <color indexed="64"/>
      </left>
      <right style="thick">
        <color rgb="FFFF0000"/>
      </right>
      <top/>
      <bottom style="hair">
        <color indexed="64"/>
      </bottom>
      <diagonal/>
    </border>
    <border>
      <left style="thick">
        <color rgb="FFFF0000"/>
      </left>
      <right style="hair">
        <color indexed="64"/>
      </right>
      <top style="medium">
        <color indexed="64"/>
      </top>
      <bottom style="hair">
        <color indexed="64"/>
      </bottom>
      <diagonal/>
    </border>
    <border>
      <left style="thick">
        <color rgb="FFFF0000"/>
      </left>
      <right style="hair">
        <color indexed="64"/>
      </right>
      <top style="hair">
        <color indexed="64"/>
      </top>
      <bottom style="hair">
        <color indexed="64"/>
      </bottom>
      <diagonal/>
    </border>
    <border>
      <left style="thick">
        <color rgb="FFFF0000"/>
      </left>
      <right style="hair">
        <color indexed="64"/>
      </right>
      <top style="hair">
        <color indexed="64"/>
      </top>
      <bottom/>
      <diagonal/>
    </border>
    <border>
      <left style="thick">
        <color rgb="FFFF0000"/>
      </left>
      <right style="mediumDashDot">
        <color rgb="FFFF0000"/>
      </right>
      <top style="mediumDashDot">
        <color rgb="FFFF0000"/>
      </top>
      <bottom style="mediumDashDot">
        <color rgb="FFFF0000"/>
      </bottom>
      <diagonal/>
    </border>
    <border>
      <left style="thick">
        <color rgb="FFFF0000"/>
      </left>
      <right style="hair">
        <color indexed="64"/>
      </right>
      <top/>
      <bottom style="hair">
        <color indexed="64"/>
      </bottom>
      <diagonal/>
    </border>
    <border>
      <left style="mediumDashed">
        <color rgb="FFFF0000"/>
      </left>
      <right/>
      <top style="mediumDashed">
        <color rgb="FFFF0000"/>
      </top>
      <bottom style="mediumDashed">
        <color rgb="FFFF0000"/>
      </bottom>
      <diagonal/>
    </border>
    <border>
      <left style="mediumDashed">
        <color rgb="FFFF0000"/>
      </left>
      <right style="thick">
        <color rgb="FFFF0000"/>
      </right>
      <top style="mediumDashed">
        <color rgb="FFFF0000"/>
      </top>
      <bottom style="mediumDashed">
        <color rgb="FFFF0000"/>
      </bottom>
      <diagonal/>
    </border>
    <border>
      <left style="thick">
        <color rgb="FFFF0000"/>
      </left>
      <right style="mediumDashed">
        <color rgb="FFFF0000"/>
      </right>
      <top style="mediumDashed">
        <color rgb="FFFF0000"/>
      </top>
      <bottom style="mediumDashed">
        <color rgb="FFFF0000"/>
      </bottom>
      <diagonal/>
    </border>
    <border>
      <left style="thick">
        <color rgb="FFFF0000"/>
      </left>
      <right style="medium">
        <color indexed="64"/>
      </right>
      <top/>
      <bottom style="medium">
        <color indexed="64"/>
      </bottom>
      <diagonal/>
    </border>
    <border>
      <left style="medium">
        <color indexed="64"/>
      </left>
      <right style="thick">
        <color rgb="FFFF0000"/>
      </right>
      <top/>
      <bottom style="medium">
        <color indexed="64"/>
      </bottom>
      <diagonal/>
    </border>
    <border>
      <left style="thick">
        <color rgb="FFFF0000"/>
      </left>
      <right style="medium">
        <color indexed="64"/>
      </right>
      <top style="thick">
        <color indexed="64"/>
      </top>
      <bottom style="medium">
        <color indexed="64"/>
      </bottom>
      <diagonal/>
    </border>
    <border>
      <left style="hair">
        <color indexed="64"/>
      </left>
      <right style="hair">
        <color indexed="64"/>
      </right>
      <top style="hair">
        <color indexed="64"/>
      </top>
      <bottom style="mediumDashDot">
        <color rgb="FFFF0000"/>
      </bottom>
      <diagonal/>
    </border>
    <border>
      <left style="hair">
        <color indexed="64"/>
      </left>
      <right/>
      <top style="hair">
        <color indexed="64"/>
      </top>
      <bottom style="mediumDashDot">
        <color rgb="FFFF0000"/>
      </bottom>
      <diagonal/>
    </border>
    <border>
      <left/>
      <right style="hair">
        <color indexed="64"/>
      </right>
      <top style="hair">
        <color indexed="64"/>
      </top>
      <bottom style="mediumDashDot">
        <color rgb="FFFF0000"/>
      </bottom>
      <diagonal/>
    </border>
    <border>
      <left style="hair">
        <color indexed="64"/>
      </left>
      <right style="thick">
        <color rgb="FFFF0000"/>
      </right>
      <top style="hair">
        <color indexed="64"/>
      </top>
      <bottom style="mediumDashDot">
        <color rgb="FFFF0000"/>
      </bottom>
      <diagonal/>
    </border>
    <border>
      <left style="thick">
        <color rgb="FFFF0000"/>
      </left>
      <right style="hair">
        <color indexed="64"/>
      </right>
      <top style="hair">
        <color indexed="64"/>
      </top>
      <bottom style="mediumDashDot">
        <color rgb="FFFF0000"/>
      </bottom>
      <diagonal/>
    </border>
    <border>
      <left style="thick">
        <color indexed="64"/>
      </left>
      <right style="hair">
        <color indexed="64"/>
      </right>
      <top style="hair">
        <color indexed="64"/>
      </top>
      <bottom style="mediumDashDot">
        <color rgb="FFFF0000"/>
      </bottom>
      <diagonal/>
    </border>
    <border>
      <left style="hair">
        <color indexed="64"/>
      </left>
      <right style="thick">
        <color indexed="64"/>
      </right>
      <top style="hair">
        <color indexed="64"/>
      </top>
      <bottom style="mediumDashDot">
        <color rgb="FFFF0000"/>
      </bottom>
      <diagonal/>
    </border>
    <border>
      <left style="hair">
        <color indexed="64"/>
      </left>
      <right style="hair">
        <color indexed="64"/>
      </right>
      <top style="hair">
        <color indexed="64"/>
      </top>
      <bottom style="slantDashDot">
        <color rgb="FFFF0000"/>
      </bottom>
      <diagonal/>
    </border>
    <border>
      <left style="thick">
        <color rgb="FFFF0000"/>
      </left>
      <right style="hair">
        <color indexed="64"/>
      </right>
      <top style="hair">
        <color indexed="64"/>
      </top>
      <bottom style="slantDashDot">
        <color rgb="FFFF0000"/>
      </bottom>
      <diagonal/>
    </border>
    <border>
      <left style="hair">
        <color indexed="64"/>
      </left>
      <right/>
      <top style="hair">
        <color indexed="64"/>
      </top>
      <bottom style="slantDashDot">
        <color rgb="FFFF0000"/>
      </bottom>
      <diagonal/>
    </border>
    <border>
      <left style="medium">
        <color indexed="64"/>
      </left>
      <right style="hair">
        <color indexed="64"/>
      </right>
      <top style="hair">
        <color indexed="64"/>
      </top>
      <bottom style="slantDashDot">
        <color rgb="FFFF0000"/>
      </bottom>
      <diagonal/>
    </border>
    <border>
      <left/>
      <right/>
      <top/>
      <bottom style="thick">
        <color rgb="FFFF0000"/>
      </bottom>
      <diagonal/>
    </border>
    <border>
      <left style="thick">
        <color rgb="FFFF0000"/>
      </left>
      <right style="thick">
        <color rgb="FFFF0000"/>
      </right>
      <top style="thick">
        <color rgb="FFFF0000"/>
      </top>
      <bottom style="thick">
        <color rgb="FFFF0000"/>
      </bottom>
      <diagonal/>
    </border>
    <border>
      <left style="mediumDashDot">
        <color rgb="FFFF0000"/>
      </left>
      <right style="medium">
        <color indexed="64"/>
      </right>
      <top style="mediumDashDot">
        <color rgb="FFFF0000"/>
      </top>
      <bottom style="mediumDashDot">
        <color rgb="FFFF0000"/>
      </bottom>
      <diagonal/>
    </border>
    <border>
      <left style="hair">
        <color indexed="64"/>
      </left>
      <right style="thick">
        <color indexed="64"/>
      </right>
      <top style="hair">
        <color indexed="64"/>
      </top>
      <bottom style="slantDashDot">
        <color rgb="FFFF0000"/>
      </bottom>
      <diagonal/>
    </border>
    <border>
      <left/>
      <right style="hair">
        <color indexed="64"/>
      </right>
      <top style="hair">
        <color indexed="64"/>
      </top>
      <bottom style="slantDashDot">
        <color rgb="FFFF0000"/>
      </bottom>
      <diagonal/>
    </border>
    <border>
      <left style="mediumDashed">
        <color rgb="FFFF0000"/>
      </left>
      <right style="medium">
        <color indexed="64"/>
      </right>
      <top style="mediumDashed">
        <color rgb="FFFF0000"/>
      </top>
      <bottom style="mediumDashed">
        <color rgb="FFFF0000"/>
      </bottom>
      <diagonal/>
    </border>
    <border>
      <left style="hair">
        <color indexed="64"/>
      </left>
      <right style="medium">
        <color indexed="64"/>
      </right>
      <top style="hair">
        <color indexed="64"/>
      </top>
      <bottom style="slantDashDot">
        <color rgb="FFFF0000"/>
      </bottom>
      <diagonal/>
    </border>
    <border>
      <left style="medium">
        <color indexed="64"/>
      </left>
      <right style="thick">
        <color indexed="64"/>
      </right>
      <top style="thick">
        <color rgb="FFFF0000"/>
      </top>
      <bottom style="medium">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ck">
        <color rgb="FFFF0000"/>
      </left>
      <right/>
      <top style="thick">
        <color indexed="64"/>
      </top>
      <bottom style="thick">
        <color indexed="64"/>
      </bottom>
      <diagonal/>
    </border>
    <border>
      <left style="thick">
        <color rgb="FFFF0000"/>
      </left>
      <right style="thick">
        <color rgb="FFFF0000"/>
      </right>
      <top style="thick">
        <color rgb="FFFF0000"/>
      </top>
      <bottom/>
      <diagonal/>
    </border>
    <border>
      <left/>
      <right style="thick">
        <color rgb="FFFF0000"/>
      </right>
      <top style="thick">
        <color indexed="64"/>
      </top>
      <bottom style="thick">
        <color indexed="64"/>
      </bottom>
      <diagonal/>
    </border>
    <border>
      <left style="thick">
        <color rgb="FFFF0000"/>
      </left>
      <right style="thick">
        <color indexed="64"/>
      </right>
      <top/>
      <bottom style="thick">
        <color indexed="64"/>
      </bottom>
      <diagonal/>
    </border>
    <border>
      <left style="thick">
        <color indexed="64"/>
      </left>
      <right style="thick">
        <color rgb="FFFF0000"/>
      </right>
      <top/>
      <bottom style="thick">
        <color indexed="64"/>
      </bottom>
      <diagonal/>
    </border>
    <border>
      <left style="thick">
        <color indexed="64"/>
      </left>
      <right/>
      <top style="thick">
        <color rgb="FFFF0000"/>
      </top>
      <bottom/>
      <diagonal/>
    </border>
    <border>
      <left/>
      <right style="thick">
        <color rgb="FFFF0000"/>
      </right>
      <top style="thick">
        <color rgb="FFFF0000"/>
      </top>
      <bottom/>
      <diagonal/>
    </border>
    <border>
      <left/>
      <right style="thick">
        <color rgb="FFFF0000"/>
      </right>
      <top/>
      <bottom style="thick">
        <color indexed="64"/>
      </bottom>
      <diagonal/>
    </border>
    <border>
      <left style="thick">
        <color rgb="FFFF0000"/>
      </left>
      <right/>
      <top style="thick">
        <color indexed="64"/>
      </top>
      <bottom/>
      <diagonal/>
    </border>
    <border>
      <left/>
      <right style="thick">
        <color indexed="64"/>
      </right>
      <top/>
      <bottom/>
      <diagonal/>
    </border>
    <border>
      <left style="thick">
        <color rgb="FFFF0000"/>
      </left>
      <right/>
      <top/>
      <bottom/>
      <diagonal/>
    </border>
    <border>
      <left/>
      <right style="thick">
        <color rgb="FFFF0000"/>
      </right>
      <top/>
      <bottom/>
      <diagonal/>
    </border>
    <border>
      <left/>
      <right style="medium">
        <color indexed="64"/>
      </right>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629">
    <xf numFmtId="0" fontId="0" fillId="0" borderId="0" xfId="0"/>
    <xf numFmtId="8" fontId="0" fillId="0" borderId="0" xfId="0" applyNumberFormat="1"/>
    <xf numFmtId="44" fontId="0" fillId="0" borderId="0" xfId="2" applyFont="1"/>
    <xf numFmtId="44" fontId="0" fillId="2" borderId="1" xfId="2" applyFont="1" applyFill="1" applyBorder="1"/>
    <xf numFmtId="0" fontId="2" fillId="0" borderId="2" xfId="0" applyFont="1" applyBorder="1" applyAlignment="1">
      <alignment horizontal="center" vertical="center" wrapText="1"/>
    </xf>
    <xf numFmtId="44" fontId="0" fillId="0" borderId="1" xfId="2" applyFont="1" applyBorder="1"/>
    <xf numFmtId="44" fontId="0" fillId="0" borderId="3" xfId="2" applyFont="1" applyBorder="1"/>
    <xf numFmtId="44" fontId="0" fillId="0" borderId="4" xfId="2" applyFont="1" applyBorder="1"/>
    <xf numFmtId="44" fontId="9" fillId="0" borderId="4" xfId="2" applyFont="1" applyBorder="1"/>
    <xf numFmtId="44" fontId="5" fillId="0" borderId="4" xfId="2" applyFont="1" applyBorder="1"/>
    <xf numFmtId="44" fontId="9" fillId="2" borderId="4" xfId="2" applyFont="1" applyFill="1" applyBorder="1"/>
    <xf numFmtId="8" fontId="5" fillId="0" borderId="0" xfId="0" applyNumberFormat="1" applyFont="1"/>
    <xf numFmtId="0" fontId="5" fillId="0" borderId="0" xfId="0" applyFont="1"/>
    <xf numFmtId="0" fontId="0" fillId="2" borderId="0" xfId="0" applyFill="1"/>
    <xf numFmtId="0" fontId="10" fillId="2" borderId="0" xfId="0" applyFont="1" applyFill="1"/>
    <xf numFmtId="44" fontId="0" fillId="0" borderId="0" xfId="0" applyNumberFormat="1"/>
    <xf numFmtId="0" fontId="11" fillId="0" borderId="0" xfId="0" applyFont="1" applyAlignment="1">
      <alignment horizontal="right"/>
    </xf>
    <xf numFmtId="44" fontId="11" fillId="0" borderId="4" xfId="2" applyFont="1" applyBorder="1"/>
    <xf numFmtId="44" fontId="4" fillId="0" borderId="4" xfId="2" applyFont="1" applyBorder="1"/>
    <xf numFmtId="44" fontId="0" fillId="0" borderId="5" xfId="2" applyFont="1" applyBorder="1"/>
    <xf numFmtId="0" fontId="3" fillId="0" borderId="6" xfId="0" applyFont="1" applyBorder="1"/>
    <xf numFmtId="0" fontId="3" fillId="0" borderId="6" xfId="0" applyFont="1" applyBorder="1" applyAlignment="1">
      <alignment horizontal="right"/>
    </xf>
    <xf numFmtId="8" fontId="2" fillId="0" borderId="6" xfId="0" applyNumberFormat="1" applyFont="1" applyBorder="1"/>
    <xf numFmtId="8" fontId="6" fillId="0" borderId="6" xfId="0" applyNumberFormat="1" applyFont="1" applyBorder="1"/>
    <xf numFmtId="0" fontId="2" fillId="0" borderId="6" xfId="0" applyFont="1" applyBorder="1"/>
    <xf numFmtId="0" fontId="6" fillId="0" borderId="6" xfId="0" applyFont="1" applyBorder="1"/>
    <xf numFmtId="0" fontId="4" fillId="0" borderId="4" xfId="0" applyFont="1" applyBorder="1" applyAlignment="1">
      <alignment horizontal="right"/>
    </xf>
    <xf numFmtId="44" fontId="11" fillId="3" borderId="7" xfId="2" applyFont="1" applyFill="1" applyBorder="1"/>
    <xf numFmtId="44" fontId="9" fillId="3" borderId="7" xfId="2" applyFont="1" applyFill="1" applyBorder="1"/>
    <xf numFmtId="44" fontId="44" fillId="0" borderId="4" xfId="2" applyFont="1" applyBorder="1"/>
    <xf numFmtId="44" fontId="44" fillId="3" borderId="4" xfId="2" applyFont="1" applyFill="1" applyBorder="1"/>
    <xf numFmtId="44" fontId="44" fillId="3" borderId="7" xfId="2" applyFont="1" applyFill="1" applyBorder="1"/>
    <xf numFmtId="0" fontId="2" fillId="2" borderId="6" xfId="0" applyFont="1" applyFill="1" applyBorder="1"/>
    <xf numFmtId="0" fontId="45" fillId="0" borderId="6" xfId="0" applyFont="1" applyBorder="1"/>
    <xf numFmtId="0" fontId="46" fillId="0" borderId="6" xfId="0" applyFont="1" applyBorder="1"/>
    <xf numFmtId="44" fontId="44" fillId="2" borderId="4" xfId="2" applyFont="1" applyFill="1" applyBorder="1"/>
    <xf numFmtId="0" fontId="2" fillId="0" borderId="8" xfId="0" applyFont="1" applyBorder="1"/>
    <xf numFmtId="0" fontId="6" fillId="0" borderId="9" xfId="0" applyFont="1" applyBorder="1"/>
    <xf numFmtId="44" fontId="9" fillId="0" borderId="1" xfId="2" applyFont="1" applyBorder="1"/>
    <xf numFmtId="10" fontId="3" fillId="0" borderId="46" xfId="0" applyNumberFormat="1" applyFont="1" applyBorder="1"/>
    <xf numFmtId="44" fontId="1" fillId="0" borderId="47" xfId="2" applyFont="1" applyBorder="1" applyAlignment="1">
      <alignment horizontal="left"/>
    </xf>
    <xf numFmtId="44" fontId="1" fillId="0" borderId="47" xfId="2" applyFont="1" applyBorder="1"/>
    <xf numFmtId="8" fontId="2" fillId="0" borderId="8" xfId="0" applyNumberFormat="1" applyFont="1" applyBorder="1"/>
    <xf numFmtId="0" fontId="3" fillId="0" borderId="9" xfId="0" applyFont="1" applyBorder="1" applyAlignment="1">
      <alignment horizontal="center"/>
    </xf>
    <xf numFmtId="0" fontId="3" fillId="0" borderId="46" xfId="0" applyFont="1" applyBorder="1" applyAlignment="1">
      <alignment horizontal="left"/>
    </xf>
    <xf numFmtId="0" fontId="3" fillId="0" borderId="9" xfId="0" applyFont="1" applyBorder="1"/>
    <xf numFmtId="0" fontId="3" fillId="0" borderId="48" xfId="0" applyFont="1" applyBorder="1" applyAlignment="1">
      <alignment horizontal="center"/>
    </xf>
    <xf numFmtId="44" fontId="1" fillId="0" borderId="49" xfId="2" applyFont="1" applyBorder="1"/>
    <xf numFmtId="44" fontId="5" fillId="0" borderId="1" xfId="2" applyFont="1" applyBorder="1"/>
    <xf numFmtId="0" fontId="4" fillId="4" borderId="10" xfId="0" applyFont="1" applyFill="1" applyBorder="1" applyAlignment="1" applyProtection="1">
      <alignment horizontal="right"/>
      <protection locked="0"/>
    </xf>
    <xf numFmtId="44" fontId="4" fillId="4" borderId="10" xfId="0" applyNumberFormat="1" applyFont="1" applyFill="1" applyBorder="1" applyProtection="1">
      <protection locked="0"/>
    </xf>
    <xf numFmtId="44" fontId="4" fillId="4" borderId="10" xfId="2" applyFont="1" applyFill="1" applyBorder="1" applyAlignment="1" applyProtection="1">
      <alignment horizontal="right"/>
      <protection locked="0"/>
    </xf>
    <xf numFmtId="44" fontId="9" fillId="0" borderId="47" xfId="2" applyFont="1" applyBorder="1" applyAlignment="1">
      <alignment horizontal="left"/>
    </xf>
    <xf numFmtId="44" fontId="9" fillId="0" borderId="47" xfId="2" applyFont="1" applyBorder="1"/>
    <xf numFmtId="44" fontId="11" fillId="2" borderId="11" xfId="2" applyFont="1" applyFill="1" applyBorder="1"/>
    <xf numFmtId="44" fontId="9" fillId="2" borderId="11" xfId="2" applyFont="1" applyFill="1" applyBorder="1"/>
    <xf numFmtId="44" fontId="44" fillId="2" borderId="11" xfId="2" applyFont="1" applyFill="1" applyBorder="1"/>
    <xf numFmtId="44" fontId="9" fillId="3" borderId="12" xfId="2" applyFont="1" applyFill="1" applyBorder="1"/>
    <xf numFmtId="44" fontId="9" fillId="3" borderId="13" xfId="2" applyFont="1" applyFill="1" applyBorder="1"/>
    <xf numFmtId="44" fontId="9" fillId="3" borderId="14" xfId="2" applyNumberFormat="1" applyFont="1" applyFill="1" applyBorder="1"/>
    <xf numFmtId="44" fontId="9" fillId="3" borderId="11" xfId="2" applyFont="1" applyFill="1" applyBorder="1"/>
    <xf numFmtId="8" fontId="9" fillId="0" borderId="0" xfId="0" applyNumberFormat="1" applyFont="1"/>
    <xf numFmtId="0" fontId="2" fillId="0" borderId="2" xfId="0" applyFont="1" applyFill="1" applyBorder="1" applyAlignment="1">
      <alignment horizontal="center" vertical="center" wrapText="1"/>
    </xf>
    <xf numFmtId="44" fontId="11" fillId="0" borderId="4" xfId="2" applyFont="1" applyFill="1" applyBorder="1"/>
    <xf numFmtId="44" fontId="9" fillId="0" borderId="4" xfId="2" applyFont="1" applyFill="1" applyBorder="1"/>
    <xf numFmtId="44" fontId="9" fillId="0" borderId="1" xfId="2" applyFont="1" applyFill="1" applyBorder="1"/>
    <xf numFmtId="44" fontId="44" fillId="0" borderId="4" xfId="2" applyFont="1" applyFill="1" applyBorder="1"/>
    <xf numFmtId="0" fontId="2" fillId="0" borderId="15" xfId="0" applyFont="1" applyFill="1" applyBorder="1" applyAlignment="1">
      <alignment horizontal="center" vertical="center" wrapText="1"/>
    </xf>
    <xf numFmtId="44" fontId="28" fillId="0" borderId="16" xfId="2" applyFont="1" applyFill="1" applyBorder="1"/>
    <xf numFmtId="8" fontId="4" fillId="0" borderId="14" xfId="2" applyNumberFormat="1" applyFont="1" applyFill="1" applyBorder="1"/>
    <xf numFmtId="44" fontId="28" fillId="0" borderId="14" xfId="2" applyFont="1" applyFill="1" applyBorder="1"/>
    <xf numFmtId="44" fontId="11" fillId="0" borderId="14" xfId="2" applyFont="1" applyFill="1" applyBorder="1"/>
    <xf numFmtId="44" fontId="28" fillId="0" borderId="17" xfId="2" applyFont="1" applyFill="1" applyBorder="1"/>
    <xf numFmtId="44" fontId="28" fillId="0" borderId="46" xfId="2" applyFont="1" applyFill="1" applyBorder="1"/>
    <xf numFmtId="44" fontId="28" fillId="0" borderId="18" xfId="2" applyFont="1" applyFill="1" applyBorder="1"/>
    <xf numFmtId="44" fontId="9" fillId="0" borderId="14" xfId="2" applyFont="1" applyFill="1" applyBorder="1"/>
    <xf numFmtId="44" fontId="28" fillId="0" borderId="46" xfId="2" applyFont="1" applyFill="1" applyBorder="1" applyAlignment="1">
      <alignment horizontal="left"/>
    </xf>
    <xf numFmtId="44" fontId="28" fillId="0" borderId="48" xfId="2" applyFont="1" applyFill="1" applyBorder="1"/>
    <xf numFmtId="44" fontId="9" fillId="0" borderId="47" xfId="2" applyFont="1" applyFill="1" applyBorder="1"/>
    <xf numFmtId="44" fontId="9" fillId="0" borderId="47" xfId="2" applyFont="1" applyFill="1" applyBorder="1" applyAlignment="1">
      <alignment horizontal="left"/>
    </xf>
    <xf numFmtId="44" fontId="4" fillId="0" borderId="14" xfId="2" applyFont="1" applyFill="1" applyBorder="1"/>
    <xf numFmtId="44" fontId="9" fillId="0" borderId="46" xfId="2" applyFont="1" applyFill="1" applyBorder="1"/>
    <xf numFmtId="44" fontId="9" fillId="0" borderId="18" xfId="2" applyFont="1" applyFill="1" applyBorder="1"/>
    <xf numFmtId="164" fontId="9" fillId="0" borderId="1" xfId="2" applyNumberFormat="1" applyFont="1" applyFill="1" applyBorder="1"/>
    <xf numFmtId="164" fontId="9" fillId="0" borderId="4" xfId="2" applyNumberFormat="1" applyFont="1" applyFill="1" applyBorder="1"/>
    <xf numFmtId="0" fontId="2" fillId="0" borderId="19" xfId="0" applyFont="1" applyFill="1" applyBorder="1" applyAlignment="1">
      <alignment horizontal="center" vertical="center" wrapText="1"/>
    </xf>
    <xf numFmtId="44" fontId="28" fillId="0" borderId="20" xfId="2" applyFont="1" applyFill="1" applyBorder="1"/>
    <xf numFmtId="44" fontId="28" fillId="0" borderId="7" xfId="2" applyFont="1" applyFill="1" applyBorder="1"/>
    <xf numFmtId="44" fontId="11" fillId="0" borderId="7" xfId="2" applyFont="1" applyFill="1" applyBorder="1"/>
    <xf numFmtId="44" fontId="28" fillId="0" borderId="21" xfId="2" applyFont="1" applyFill="1" applyBorder="1"/>
    <xf numFmtId="44" fontId="28" fillId="0" borderId="50" xfId="2" applyFont="1" applyFill="1" applyBorder="1"/>
    <xf numFmtId="44" fontId="28" fillId="0" borderId="13" xfId="2" applyFont="1" applyFill="1" applyBorder="1"/>
    <xf numFmtId="44" fontId="9" fillId="0" borderId="7" xfId="2" applyFont="1" applyFill="1" applyBorder="1"/>
    <xf numFmtId="44" fontId="44" fillId="0" borderId="7" xfId="2" applyFont="1" applyFill="1" applyBorder="1"/>
    <xf numFmtId="44" fontId="9" fillId="5" borderId="14" xfId="2" applyNumberFormat="1" applyFont="1" applyFill="1" applyBorder="1"/>
    <xf numFmtId="44" fontId="9" fillId="5" borderId="11" xfId="2" applyFont="1" applyFill="1" applyBorder="1"/>
    <xf numFmtId="44" fontId="9" fillId="5" borderId="4" xfId="2" applyNumberFormat="1" applyFont="1" applyFill="1" applyBorder="1"/>
    <xf numFmtId="44" fontId="9" fillId="5" borderId="7" xfId="2" applyFont="1" applyFill="1" applyBorder="1"/>
    <xf numFmtId="44" fontId="4" fillId="0" borderId="7" xfId="2" applyFont="1" applyFill="1" applyBorder="1"/>
    <xf numFmtId="44" fontId="28" fillId="0" borderId="51" xfId="2" applyFont="1" applyFill="1" applyBorder="1"/>
    <xf numFmtId="0" fontId="2" fillId="0" borderId="22" xfId="0" applyFont="1" applyFill="1" applyBorder="1" applyAlignment="1">
      <alignment horizontal="center" vertical="center" wrapText="1"/>
    </xf>
    <xf numFmtId="44" fontId="28" fillId="0" borderId="23" xfId="2" applyFont="1" applyFill="1" applyBorder="1"/>
    <xf numFmtId="44" fontId="4" fillId="0" borderId="11" xfId="2" applyFont="1" applyFill="1" applyBorder="1"/>
    <xf numFmtId="44" fontId="28" fillId="0" borderId="11" xfId="2" applyFont="1" applyFill="1" applyBorder="1"/>
    <xf numFmtId="44" fontId="11" fillId="0" borderId="11" xfId="2" applyFont="1" applyFill="1" applyBorder="1"/>
    <xf numFmtId="44" fontId="28" fillId="0" borderId="24" xfId="2" applyFont="1" applyFill="1" applyBorder="1"/>
    <xf numFmtId="44" fontId="28" fillId="0" borderId="52" xfId="2" applyFont="1" applyFill="1" applyBorder="1"/>
    <xf numFmtId="44" fontId="28" fillId="0" borderId="12" xfId="2" applyFont="1" applyFill="1" applyBorder="1"/>
    <xf numFmtId="44" fontId="9" fillId="0" borderId="11" xfId="2" applyFont="1" applyFill="1" applyBorder="1"/>
    <xf numFmtId="44" fontId="44" fillId="0" borderId="11" xfId="2" applyFont="1" applyFill="1" applyBorder="1"/>
    <xf numFmtId="44" fontId="9" fillId="0" borderId="12" xfId="2" applyFont="1" applyFill="1" applyBorder="1"/>
    <xf numFmtId="0" fontId="2" fillId="0" borderId="53" xfId="0" applyFont="1" applyFill="1" applyBorder="1" applyAlignment="1">
      <alignment horizontal="center" vertical="center" wrapText="1"/>
    </xf>
    <xf numFmtId="44" fontId="28" fillId="0" borderId="54" xfId="2" applyFont="1" applyFill="1" applyBorder="1"/>
    <xf numFmtId="44" fontId="4" fillId="0" borderId="55" xfId="2" applyFont="1" applyFill="1" applyBorder="1"/>
    <xf numFmtId="44" fontId="28" fillId="0" borderId="55" xfId="2" applyFont="1" applyFill="1" applyBorder="1"/>
    <xf numFmtId="44" fontId="11" fillId="0" borderId="55" xfId="2" applyFont="1" applyFill="1" applyBorder="1"/>
    <xf numFmtId="44" fontId="28" fillId="0" borderId="56" xfId="2" applyFont="1" applyFill="1" applyBorder="1"/>
    <xf numFmtId="44" fontId="28" fillId="0" borderId="57" xfId="2" applyFont="1" applyFill="1" applyBorder="1"/>
    <xf numFmtId="44" fontId="28" fillId="0" borderId="58" xfId="2" applyFont="1" applyFill="1" applyBorder="1"/>
    <xf numFmtId="44" fontId="9" fillId="0" borderId="55" xfId="2" applyFont="1" applyFill="1" applyBorder="1"/>
    <xf numFmtId="44" fontId="44" fillId="0" borderId="55" xfId="2" applyFont="1" applyFill="1" applyBorder="1"/>
    <xf numFmtId="44" fontId="9" fillId="0" borderId="57" xfId="2" applyFont="1" applyFill="1" applyBorder="1"/>
    <xf numFmtId="44" fontId="9" fillId="0" borderId="58" xfId="2" applyFont="1" applyFill="1" applyBorder="1"/>
    <xf numFmtId="44" fontId="1" fillId="0" borderId="59" xfId="2" applyFont="1" applyBorder="1"/>
    <xf numFmtId="44" fontId="4" fillId="0" borderId="60" xfId="2" applyFont="1" applyBorder="1"/>
    <xf numFmtId="44" fontId="1" fillId="0" borderId="60" xfId="2" applyFont="1" applyBorder="1"/>
    <xf numFmtId="44" fontId="11" fillId="0" borderId="60" xfId="2" applyFont="1" applyBorder="1"/>
    <xf numFmtId="44" fontId="1" fillId="0" borderId="61" xfId="2" applyFont="1" applyBorder="1"/>
    <xf numFmtId="44" fontId="1" fillId="0" borderId="62" xfId="2" applyFont="1" applyBorder="1"/>
    <xf numFmtId="44" fontId="1" fillId="0" borderId="63" xfId="2" applyFont="1" applyBorder="1"/>
    <xf numFmtId="44" fontId="9" fillId="0" borderId="60" xfId="2" applyFont="1" applyBorder="1"/>
    <xf numFmtId="44" fontId="44" fillId="0" borderId="60" xfId="2" applyFont="1" applyBorder="1"/>
    <xf numFmtId="44" fontId="9" fillId="0" borderId="62" xfId="2" applyFont="1" applyBorder="1" applyAlignment="1">
      <alignment horizontal="left"/>
    </xf>
    <xf numFmtId="44" fontId="28" fillId="0" borderId="64" xfId="2" applyFont="1" applyFill="1" applyBorder="1"/>
    <xf numFmtId="44" fontId="9" fillId="5" borderId="60" xfId="2" applyFont="1" applyFill="1" applyBorder="1"/>
    <xf numFmtId="44" fontId="28" fillId="0" borderId="55" xfId="2" applyNumberFormat="1" applyFont="1" applyFill="1" applyBorder="1"/>
    <xf numFmtId="44" fontId="28" fillId="0" borderId="65" xfId="2" applyNumberFormat="1" applyFont="1" applyFill="1" applyBorder="1"/>
    <xf numFmtId="44" fontId="9" fillId="2" borderId="60" xfId="2" applyFont="1" applyFill="1" applyBorder="1"/>
    <xf numFmtId="44" fontId="1" fillId="0" borderId="62" xfId="2" applyFont="1" applyBorder="1" applyAlignment="1">
      <alignment horizontal="left"/>
    </xf>
    <xf numFmtId="44" fontId="1" fillId="0" borderId="66" xfId="2" applyFont="1" applyBorder="1"/>
    <xf numFmtId="0" fontId="2" fillId="0" borderId="67" xfId="0" applyFont="1" applyBorder="1" applyAlignment="1">
      <alignment horizontal="center" vertical="center" wrapText="1"/>
    </xf>
    <xf numFmtId="8" fontId="44" fillId="6" borderId="60" xfId="2" applyNumberFormat="1" applyFont="1" applyFill="1" applyBorder="1"/>
    <xf numFmtId="44" fontId="1" fillId="6" borderId="0" xfId="2" applyFont="1" applyFill="1" applyProtection="1">
      <protection locked="0"/>
    </xf>
    <xf numFmtId="8" fontId="3" fillId="0" borderId="0" xfId="0" applyNumberFormat="1" applyFont="1" applyFill="1" applyBorder="1" applyAlignment="1">
      <alignment horizontal="right"/>
    </xf>
    <xf numFmtId="0" fontId="4" fillId="0" borderId="0" xfId="0" applyFont="1" applyAlignment="1">
      <alignment horizontal="right"/>
    </xf>
    <xf numFmtId="8" fontId="9" fillId="3" borderId="7" xfId="2" applyNumberFormat="1" applyFont="1" applyFill="1" applyBorder="1"/>
    <xf numFmtId="44" fontId="9" fillId="3" borderId="14" xfId="2" applyFont="1" applyFill="1" applyBorder="1"/>
    <xf numFmtId="44" fontId="44" fillId="3" borderId="14" xfId="2" applyFont="1" applyFill="1" applyBorder="1"/>
    <xf numFmtId="0" fontId="0" fillId="3" borderId="0" xfId="0" applyFill="1" applyProtection="1">
      <protection locked="0"/>
    </xf>
    <xf numFmtId="0" fontId="5" fillId="3" borderId="0" xfId="0" applyFont="1" applyFill="1"/>
    <xf numFmtId="8" fontId="5" fillId="3" borderId="0" xfId="0" applyNumberFormat="1" applyFont="1" applyFill="1"/>
    <xf numFmtId="0" fontId="9" fillId="0" borderId="4" xfId="0" applyFont="1" applyBorder="1"/>
    <xf numFmtId="0" fontId="0" fillId="0" borderId="1" xfId="0" applyBorder="1"/>
    <xf numFmtId="44" fontId="1" fillId="7" borderId="4" xfId="2" applyFont="1" applyFill="1" applyBorder="1"/>
    <xf numFmtId="44" fontId="9" fillId="8" borderId="4" xfId="2" applyFont="1" applyFill="1" applyBorder="1"/>
    <xf numFmtId="44" fontId="4" fillId="8" borderId="14" xfId="2" applyFont="1" applyFill="1" applyBorder="1"/>
    <xf numFmtId="44" fontId="4" fillId="8" borderId="4" xfId="2" applyFont="1" applyFill="1" applyBorder="1"/>
    <xf numFmtId="44" fontId="4" fillId="8" borderId="55" xfId="2" applyFont="1" applyFill="1" applyBorder="1"/>
    <xf numFmtId="44" fontId="9" fillId="7" borderId="4" xfId="2" applyFont="1" applyFill="1" applyBorder="1"/>
    <xf numFmtId="44" fontId="44" fillId="7" borderId="4" xfId="2" applyFont="1" applyFill="1" applyBorder="1"/>
    <xf numFmtId="44" fontId="1" fillId="7" borderId="5" xfId="2" applyFont="1" applyFill="1" applyBorder="1"/>
    <xf numFmtId="44" fontId="1" fillId="7" borderId="47" xfId="2" applyFont="1" applyFill="1" applyBorder="1"/>
    <xf numFmtId="44" fontId="1" fillId="7" borderId="1" xfId="2" applyFont="1" applyFill="1" applyBorder="1"/>
    <xf numFmtId="44" fontId="9" fillId="7" borderId="1" xfId="2" applyFont="1" applyFill="1" applyBorder="1"/>
    <xf numFmtId="0" fontId="2" fillId="7" borderId="2" xfId="0" applyFont="1" applyFill="1" applyBorder="1" applyAlignment="1">
      <alignment horizontal="center" vertical="center" wrapText="1"/>
    </xf>
    <xf numFmtId="44" fontId="11" fillId="7" borderId="4" xfId="2" applyFont="1" applyFill="1" applyBorder="1"/>
    <xf numFmtId="0" fontId="2" fillId="7" borderId="22" xfId="0" applyFont="1" applyFill="1" applyBorder="1" applyAlignment="1">
      <alignment horizontal="center" vertical="center" wrapText="1"/>
    </xf>
    <xf numFmtId="44" fontId="1" fillId="7" borderId="12" xfId="2" applyFont="1" applyFill="1" applyBorder="1"/>
    <xf numFmtId="44" fontId="1" fillId="7" borderId="11" xfId="2" applyFont="1" applyFill="1" applyBorder="1"/>
    <xf numFmtId="44" fontId="11" fillId="7" borderId="11" xfId="2" applyFont="1" applyFill="1" applyBorder="1"/>
    <xf numFmtId="44" fontId="1" fillId="7" borderId="24" xfId="2" applyFont="1" applyFill="1" applyBorder="1"/>
    <xf numFmtId="44" fontId="1" fillId="7" borderId="52" xfId="2" applyFont="1" applyFill="1" applyBorder="1"/>
    <xf numFmtId="44" fontId="9" fillId="7" borderId="11" xfId="2" applyFont="1" applyFill="1" applyBorder="1"/>
    <xf numFmtId="44" fontId="44" fillId="7" borderId="11" xfId="2" applyFont="1" applyFill="1" applyBorder="1"/>
    <xf numFmtId="44" fontId="9" fillId="7" borderId="12" xfId="2" applyFont="1" applyFill="1" applyBorder="1"/>
    <xf numFmtId="44" fontId="1" fillId="7" borderId="55" xfId="2" applyFont="1" applyFill="1" applyBorder="1"/>
    <xf numFmtId="44" fontId="9" fillId="7" borderId="55" xfId="2" applyFont="1" applyFill="1" applyBorder="1"/>
    <xf numFmtId="44" fontId="44" fillId="7" borderId="55" xfId="2" applyFont="1" applyFill="1" applyBorder="1"/>
    <xf numFmtId="44" fontId="1" fillId="7" borderId="56" xfId="2" applyFont="1" applyFill="1" applyBorder="1"/>
    <xf numFmtId="44" fontId="1" fillId="7" borderId="57" xfId="2" applyFont="1" applyFill="1" applyBorder="1"/>
    <xf numFmtId="44" fontId="9" fillId="7" borderId="58" xfId="2" applyFont="1" applyFill="1" applyBorder="1"/>
    <xf numFmtId="44" fontId="1" fillId="7" borderId="58" xfId="2" applyFont="1" applyFill="1" applyBorder="1"/>
    <xf numFmtId="0" fontId="2" fillId="7" borderId="68" xfId="0" applyFont="1" applyFill="1" applyBorder="1" applyAlignment="1">
      <alignment horizontal="center" vertical="center" wrapText="1"/>
    </xf>
    <xf numFmtId="44" fontId="11" fillId="7" borderId="55" xfId="2" applyFont="1" applyFill="1" applyBorder="1"/>
    <xf numFmtId="44" fontId="5" fillId="7" borderId="1" xfId="2" applyFont="1" applyFill="1" applyBorder="1"/>
    <xf numFmtId="44" fontId="5" fillId="7" borderId="4" xfId="2" applyFont="1" applyFill="1" applyBorder="1"/>
    <xf numFmtId="44" fontId="28" fillId="7" borderId="63" xfId="2" applyFont="1" applyFill="1" applyBorder="1"/>
    <xf numFmtId="44" fontId="28" fillId="7" borderId="60" xfId="2" applyFont="1" applyFill="1" applyBorder="1"/>
    <xf numFmtId="44" fontId="28" fillId="7" borderId="61" xfId="2" applyFont="1" applyFill="1" applyBorder="1"/>
    <xf numFmtId="44" fontId="28" fillId="7" borderId="62" xfId="2" applyFont="1" applyFill="1" applyBorder="1"/>
    <xf numFmtId="44" fontId="9" fillId="7" borderId="60" xfId="2" applyFont="1" applyFill="1" applyBorder="1"/>
    <xf numFmtId="44" fontId="44" fillId="7" borderId="60" xfId="2" applyFont="1" applyFill="1" applyBorder="1"/>
    <xf numFmtId="0" fontId="2" fillId="7" borderId="15" xfId="0" applyFont="1" applyFill="1" applyBorder="1" applyAlignment="1">
      <alignment horizontal="center" vertical="center" wrapText="1"/>
    </xf>
    <xf numFmtId="44" fontId="9" fillId="7" borderId="14" xfId="2" applyNumberFormat="1" applyFont="1" applyFill="1" applyBorder="1"/>
    <xf numFmtId="0" fontId="2" fillId="7" borderId="69" xfId="0" applyFont="1" applyFill="1" applyBorder="1" applyAlignment="1">
      <alignment horizontal="center" vertical="center" wrapText="1"/>
    </xf>
    <xf numFmtId="44" fontId="11" fillId="7" borderId="7" xfId="2" applyFont="1" applyFill="1" applyBorder="1"/>
    <xf numFmtId="44" fontId="9" fillId="7" borderId="7" xfId="2" applyFont="1" applyFill="1" applyBorder="1"/>
    <xf numFmtId="44" fontId="9" fillId="8" borderId="60" xfId="2" applyNumberFormat="1" applyFont="1" applyFill="1" applyBorder="1"/>
    <xf numFmtId="44" fontId="9" fillId="8" borderId="7" xfId="2" applyFont="1" applyFill="1" applyBorder="1"/>
    <xf numFmtId="44" fontId="44" fillId="7" borderId="7" xfId="2" applyFont="1" applyFill="1" applyBorder="1"/>
    <xf numFmtId="44" fontId="9" fillId="7" borderId="13" xfId="2" applyFont="1" applyFill="1" applyBorder="1"/>
    <xf numFmtId="44" fontId="28" fillId="7" borderId="18" xfId="2" applyFont="1" applyFill="1" applyBorder="1"/>
    <xf numFmtId="44" fontId="28" fillId="7" borderId="17" xfId="2" applyFont="1" applyFill="1" applyBorder="1"/>
    <xf numFmtId="44" fontId="28" fillId="7" borderId="46" xfId="2" applyFont="1" applyFill="1" applyBorder="1"/>
    <xf numFmtId="44" fontId="28" fillId="7" borderId="14" xfId="2" applyFont="1" applyFill="1" applyBorder="1"/>
    <xf numFmtId="8" fontId="9" fillId="7" borderId="14" xfId="2" applyNumberFormat="1" applyFont="1" applyFill="1" applyBorder="1"/>
    <xf numFmtId="8" fontId="9" fillId="7" borderId="7" xfId="2" applyNumberFormat="1" applyFont="1" applyFill="1" applyBorder="1"/>
    <xf numFmtId="44" fontId="9" fillId="7" borderId="14" xfId="2" applyFont="1" applyFill="1" applyBorder="1"/>
    <xf numFmtId="44" fontId="44" fillId="7" borderId="14" xfId="2" applyFont="1" applyFill="1" applyBorder="1"/>
    <xf numFmtId="44" fontId="9" fillId="0" borderId="63" xfId="2" applyFont="1" applyBorder="1"/>
    <xf numFmtId="44" fontId="9" fillId="2" borderId="1" xfId="2" applyFont="1" applyFill="1" applyBorder="1"/>
    <xf numFmtId="44" fontId="9" fillId="7" borderId="63" xfId="2" applyFont="1" applyFill="1" applyBorder="1"/>
    <xf numFmtId="44" fontId="9" fillId="7" borderId="3" xfId="2" applyFont="1" applyFill="1" applyBorder="1"/>
    <xf numFmtId="44" fontId="9" fillId="0" borderId="54" xfId="2" applyFont="1" applyFill="1" applyBorder="1"/>
    <xf numFmtId="44" fontId="9" fillId="7" borderId="18" xfId="2" applyFont="1" applyFill="1" applyBorder="1"/>
    <xf numFmtId="44" fontId="9" fillId="2" borderId="18" xfId="2" applyFont="1" applyFill="1" applyBorder="1"/>
    <xf numFmtId="44" fontId="9" fillId="7" borderId="20" xfId="2" applyFont="1" applyFill="1" applyBorder="1"/>
    <xf numFmtId="44" fontId="9" fillId="3" borderId="1" xfId="2" applyFont="1" applyFill="1" applyBorder="1"/>
    <xf numFmtId="44" fontId="9" fillId="3" borderId="20" xfId="2" applyFont="1" applyFill="1" applyBorder="1"/>
    <xf numFmtId="44" fontId="9" fillId="3" borderId="18" xfId="2" applyFont="1" applyFill="1" applyBorder="1"/>
    <xf numFmtId="44" fontId="9" fillId="0" borderId="4" xfId="2" applyNumberFormat="1" applyFont="1" applyBorder="1"/>
    <xf numFmtId="44" fontId="9" fillId="3" borderId="4" xfId="2" applyFont="1" applyFill="1" applyBorder="1"/>
    <xf numFmtId="8" fontId="9" fillId="3" borderId="14" xfId="2" applyNumberFormat="1" applyFont="1" applyFill="1" applyBorder="1"/>
    <xf numFmtId="44" fontId="9" fillId="7" borderId="5" xfId="2" applyFont="1" applyFill="1" applyBorder="1"/>
    <xf numFmtId="44" fontId="9" fillId="0" borderId="5" xfId="2" applyFont="1" applyBorder="1"/>
    <xf numFmtId="44" fontId="9" fillId="7" borderId="24" xfId="2" applyFont="1" applyFill="1" applyBorder="1"/>
    <xf numFmtId="44" fontId="9" fillId="0" borderId="61" xfId="2" applyFont="1" applyBorder="1"/>
    <xf numFmtId="44" fontId="9" fillId="7" borderId="56" xfId="2" applyFont="1" applyFill="1" applyBorder="1"/>
    <xf numFmtId="44" fontId="9" fillId="0" borderId="17" xfId="2" applyFont="1" applyFill="1" applyBorder="1"/>
    <xf numFmtId="44" fontId="9" fillId="0" borderId="5" xfId="2" applyFont="1" applyFill="1" applyBorder="1"/>
    <xf numFmtId="44" fontId="9" fillId="2" borderId="5" xfId="2" applyFont="1" applyFill="1" applyBorder="1"/>
    <xf numFmtId="44" fontId="9" fillId="2" borderId="24" xfId="2" applyFont="1" applyFill="1" applyBorder="1"/>
    <xf numFmtId="44" fontId="9" fillId="7" borderId="61" xfId="2" applyFont="1" applyFill="1" applyBorder="1"/>
    <xf numFmtId="44" fontId="9" fillId="0" borderId="56" xfId="2" applyFont="1" applyFill="1" applyBorder="1"/>
    <xf numFmtId="44" fontId="9" fillId="7" borderId="17" xfId="2" applyFont="1" applyFill="1" applyBorder="1"/>
    <xf numFmtId="44" fontId="9" fillId="2" borderId="17" xfId="2" applyFont="1" applyFill="1" applyBorder="1"/>
    <xf numFmtId="44" fontId="9" fillId="7" borderId="21" xfId="2" applyFont="1" applyFill="1" applyBorder="1"/>
    <xf numFmtId="44" fontId="9" fillId="3" borderId="5" xfId="2" applyFont="1" applyFill="1" applyBorder="1"/>
    <xf numFmtId="44" fontId="9" fillId="3" borderId="21" xfId="2" applyFont="1" applyFill="1" applyBorder="1"/>
    <xf numFmtId="44" fontId="9" fillId="3" borderId="17" xfId="2" applyFont="1" applyFill="1" applyBorder="1"/>
    <xf numFmtId="44" fontId="9" fillId="7" borderId="47" xfId="2" applyFont="1" applyFill="1" applyBorder="1"/>
    <xf numFmtId="44" fontId="9" fillId="7" borderId="52" xfId="2" applyFont="1" applyFill="1" applyBorder="1"/>
    <xf numFmtId="44" fontId="9" fillId="0" borderId="62" xfId="2" applyFont="1" applyBorder="1"/>
    <xf numFmtId="44" fontId="9" fillId="7" borderId="57" xfId="2" applyFont="1" applyFill="1" applyBorder="1"/>
    <xf numFmtId="44" fontId="9" fillId="2" borderId="47" xfId="2" applyFont="1" applyFill="1" applyBorder="1"/>
    <xf numFmtId="44" fontId="9" fillId="2" borderId="52" xfId="2" applyFont="1" applyFill="1" applyBorder="1"/>
    <xf numFmtId="44" fontId="9" fillId="7" borderId="62" xfId="2" applyFont="1" applyFill="1" applyBorder="1"/>
    <xf numFmtId="44" fontId="9" fillId="7" borderId="46" xfId="2" applyFont="1" applyFill="1" applyBorder="1"/>
    <xf numFmtId="44" fontId="9" fillId="2" borderId="46" xfId="2" applyFont="1" applyFill="1" applyBorder="1"/>
    <xf numFmtId="44" fontId="9" fillId="7" borderId="50" xfId="2" applyFont="1" applyFill="1" applyBorder="1"/>
    <xf numFmtId="44" fontId="9" fillId="3" borderId="47" xfId="2" applyFont="1" applyFill="1" applyBorder="1"/>
    <xf numFmtId="44" fontId="9" fillId="3" borderId="50" xfId="2" applyFont="1" applyFill="1" applyBorder="1"/>
    <xf numFmtId="44" fontId="9" fillId="3" borderId="46" xfId="2" applyFont="1" applyFill="1" applyBorder="1"/>
    <xf numFmtId="44" fontId="9" fillId="3" borderId="7" xfId="2" applyNumberFormat="1" applyFont="1" applyFill="1" applyBorder="1"/>
    <xf numFmtId="44" fontId="9" fillId="7" borderId="7" xfId="2" applyNumberFormat="1" applyFont="1" applyFill="1" applyBorder="1"/>
    <xf numFmtId="44" fontId="9" fillId="2" borderId="11" xfId="2" applyNumberFormat="1" applyFont="1" applyFill="1" applyBorder="1"/>
    <xf numFmtId="164" fontId="9" fillId="0" borderId="14" xfId="2" applyNumberFormat="1" applyFont="1" applyFill="1" applyBorder="1"/>
    <xf numFmtId="164" fontId="9" fillId="0" borderId="17" xfId="2" applyNumberFormat="1" applyFont="1" applyFill="1" applyBorder="1"/>
    <xf numFmtId="164" fontId="9" fillId="0" borderId="5" xfId="2" applyNumberFormat="1" applyFont="1" applyFill="1" applyBorder="1"/>
    <xf numFmtId="44" fontId="9" fillId="7" borderId="47" xfId="2" applyFont="1" applyFill="1" applyBorder="1" applyAlignment="1">
      <alignment horizontal="left"/>
    </xf>
    <xf numFmtId="164" fontId="9" fillId="0" borderId="46" xfId="2" applyNumberFormat="1" applyFont="1" applyFill="1" applyBorder="1" applyAlignment="1">
      <alignment horizontal="left"/>
    </xf>
    <xf numFmtId="164" fontId="9" fillId="0" borderId="47" xfId="2" applyNumberFormat="1" applyFont="1" applyFill="1" applyBorder="1"/>
    <xf numFmtId="164" fontId="9" fillId="0" borderId="18" xfId="2" applyNumberFormat="1" applyFont="1" applyFill="1" applyBorder="1"/>
    <xf numFmtId="164" fontId="9" fillId="0" borderId="46" xfId="2" applyNumberFormat="1" applyFont="1" applyFill="1" applyBorder="1"/>
    <xf numFmtId="43" fontId="9" fillId="7" borderId="4" xfId="1" applyFont="1" applyFill="1" applyBorder="1"/>
    <xf numFmtId="44" fontId="9" fillId="0" borderId="14" xfId="2" applyFont="1" applyBorder="1"/>
    <xf numFmtId="44" fontId="9" fillId="8" borderId="11" xfId="2" applyFont="1" applyFill="1" applyBorder="1"/>
    <xf numFmtId="44" fontId="9" fillId="8" borderId="60" xfId="2" applyFont="1" applyFill="1" applyBorder="1"/>
    <xf numFmtId="44" fontId="9" fillId="8" borderId="55" xfId="2" applyFont="1" applyFill="1" applyBorder="1"/>
    <xf numFmtId="44" fontId="9" fillId="8" borderId="14" xfId="2" applyFont="1" applyFill="1" applyBorder="1"/>
    <xf numFmtId="44" fontId="9" fillId="8" borderId="25" xfId="2" applyFont="1" applyFill="1" applyBorder="1"/>
    <xf numFmtId="44" fontId="9" fillId="7" borderId="25" xfId="2" applyFont="1" applyFill="1" applyBorder="1"/>
    <xf numFmtId="0" fontId="9" fillId="7" borderId="4" xfId="0" applyFont="1" applyFill="1" applyBorder="1"/>
    <xf numFmtId="0" fontId="9" fillId="7" borderId="11" xfId="0" applyFont="1" applyFill="1" applyBorder="1"/>
    <xf numFmtId="0" fontId="9" fillId="0" borderId="14" xfId="0" applyFont="1" applyBorder="1"/>
    <xf numFmtId="0" fontId="9" fillId="7" borderId="55" xfId="0" applyFont="1" applyFill="1" applyBorder="1"/>
    <xf numFmtId="164" fontId="9" fillId="0" borderId="14" xfId="0" applyNumberFormat="1" applyFont="1" applyFill="1" applyBorder="1"/>
    <xf numFmtId="164" fontId="9" fillId="0" borderId="4" xfId="0" applyNumberFormat="1" applyFont="1" applyFill="1" applyBorder="1"/>
    <xf numFmtId="0" fontId="9" fillId="0" borderId="4" xfId="0" applyFont="1" applyFill="1" applyBorder="1"/>
    <xf numFmtId="0" fontId="9" fillId="3" borderId="4" xfId="0" applyFont="1" applyFill="1" applyBorder="1"/>
    <xf numFmtId="0" fontId="9" fillId="3" borderId="11" xfId="0" applyFont="1" applyFill="1" applyBorder="1"/>
    <xf numFmtId="0" fontId="9" fillId="7" borderId="60" xfId="0" applyFont="1" applyFill="1" applyBorder="1"/>
    <xf numFmtId="0" fontId="9" fillId="7" borderId="25" xfId="0" applyFont="1" applyFill="1" applyBorder="1"/>
    <xf numFmtId="0" fontId="9" fillId="3" borderId="25" xfId="0" applyFont="1" applyFill="1" applyBorder="1"/>
    <xf numFmtId="0" fontId="9" fillId="7" borderId="7" xfId="0" applyFont="1" applyFill="1" applyBorder="1"/>
    <xf numFmtId="44" fontId="9" fillId="3" borderId="25" xfId="2" applyFont="1" applyFill="1" applyBorder="1"/>
    <xf numFmtId="44" fontId="9" fillId="8" borderId="25" xfId="0" applyNumberFormat="1" applyFont="1" applyFill="1" applyBorder="1"/>
    <xf numFmtId="44" fontId="9" fillId="8" borderId="11" xfId="0" applyNumberFormat="1" applyFont="1" applyFill="1" applyBorder="1"/>
    <xf numFmtId="44" fontId="9" fillId="7" borderId="25" xfId="0" applyNumberFormat="1" applyFont="1" applyFill="1" applyBorder="1"/>
    <xf numFmtId="44" fontId="9" fillId="7" borderId="7" xfId="0" applyNumberFormat="1" applyFont="1" applyFill="1" applyBorder="1"/>
    <xf numFmtId="0" fontId="9" fillId="7" borderId="70" xfId="0" applyFont="1" applyFill="1" applyBorder="1"/>
    <xf numFmtId="0" fontId="9" fillId="0" borderId="70" xfId="0" applyFont="1" applyBorder="1"/>
    <xf numFmtId="0" fontId="9" fillId="7" borderId="71" xfId="0" applyFont="1" applyFill="1" applyBorder="1"/>
    <xf numFmtId="0" fontId="9" fillId="3" borderId="72" xfId="0" applyFont="1" applyFill="1" applyBorder="1"/>
    <xf numFmtId="0" fontId="9" fillId="3" borderId="70" xfId="0" applyFont="1" applyFill="1" applyBorder="1"/>
    <xf numFmtId="0" fontId="9" fillId="7" borderId="73" xfId="0" applyFont="1" applyFill="1" applyBorder="1"/>
    <xf numFmtId="164" fontId="9" fillId="3" borderId="72" xfId="0" applyNumberFormat="1" applyFont="1" applyFill="1" applyBorder="1"/>
    <xf numFmtId="164" fontId="9" fillId="3" borderId="70" xfId="0" applyNumberFormat="1" applyFont="1" applyFill="1" applyBorder="1"/>
    <xf numFmtId="0" fontId="9" fillId="0" borderId="70" xfId="0" applyFont="1" applyFill="1" applyBorder="1"/>
    <xf numFmtId="43" fontId="9" fillId="7" borderId="70" xfId="1" applyFont="1" applyFill="1" applyBorder="1"/>
    <xf numFmtId="0" fontId="9" fillId="2" borderId="70" xfId="0" applyFont="1" applyFill="1" applyBorder="1"/>
    <xf numFmtId="0" fontId="9" fillId="2" borderId="71" xfId="0" applyFont="1" applyFill="1" applyBorder="1"/>
    <xf numFmtId="0" fontId="9" fillId="7" borderId="74" xfId="0" applyFont="1" applyFill="1" applyBorder="1"/>
    <xf numFmtId="0" fontId="9" fillId="3" borderId="71" xfId="0" applyFont="1" applyFill="1" applyBorder="1"/>
    <xf numFmtId="0" fontId="9" fillId="2" borderId="75" xfId="0" applyFont="1" applyFill="1" applyBorder="1"/>
    <xf numFmtId="0" fontId="9" fillId="7" borderId="75" xfId="0" applyFont="1" applyFill="1" applyBorder="1"/>
    <xf numFmtId="0" fontId="9" fillId="0" borderId="75" xfId="0" applyFont="1" applyBorder="1"/>
    <xf numFmtId="0" fontId="9" fillId="0" borderId="71" xfId="0" applyFont="1" applyBorder="1"/>
    <xf numFmtId="44" fontId="9" fillId="8" borderId="75" xfId="0" applyNumberFormat="1" applyFont="1" applyFill="1" applyBorder="1"/>
    <xf numFmtId="44" fontId="9" fillId="8" borderId="76" xfId="0" applyNumberFormat="1" applyFont="1" applyFill="1" applyBorder="1"/>
    <xf numFmtId="0" fontId="9" fillId="0" borderId="0" xfId="0" applyFont="1"/>
    <xf numFmtId="0" fontId="4" fillId="7"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7" borderId="22" xfId="0" applyFont="1" applyFill="1" applyBorder="1" applyAlignment="1">
      <alignment horizontal="center" vertical="center" wrapText="1"/>
    </xf>
    <xf numFmtId="0" fontId="4" fillId="0" borderId="67" xfId="0" applyFont="1" applyBorder="1" applyAlignment="1">
      <alignment horizontal="center" vertical="center" wrapText="1"/>
    </xf>
    <xf numFmtId="0" fontId="4" fillId="7" borderId="68"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7" borderId="67" xfId="0" applyFont="1" applyFill="1" applyBorder="1" applyAlignment="1">
      <alignment horizontal="center" vertical="center" wrapText="1"/>
    </xf>
    <xf numFmtId="0" fontId="4" fillId="0" borderId="68" xfId="0" applyFont="1" applyFill="1" applyBorder="1" applyAlignment="1">
      <alignment horizontal="center" vertical="center" wrapText="1"/>
    </xf>
    <xf numFmtId="0" fontId="4" fillId="7" borderId="15"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7" borderId="69" xfId="0" applyFont="1" applyFill="1" applyBorder="1" applyAlignment="1">
      <alignment horizontal="center" vertical="center" wrapText="1"/>
    </xf>
    <xf numFmtId="0" fontId="4" fillId="7" borderId="19"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15" xfId="0" applyFont="1" applyFill="1" applyBorder="1" applyAlignment="1">
      <alignment horizontal="center" vertical="center" wrapText="1"/>
    </xf>
    <xf numFmtId="8" fontId="9" fillId="0" borderId="1" xfId="0" applyNumberFormat="1" applyFont="1" applyBorder="1"/>
    <xf numFmtId="0" fontId="4" fillId="0" borderId="4" xfId="0" applyFont="1" applyBorder="1"/>
    <xf numFmtId="8" fontId="9" fillId="0" borderId="5" xfId="0" applyNumberFormat="1" applyFont="1" applyBorder="1"/>
    <xf numFmtId="0" fontId="4" fillId="0" borderId="47" xfId="0" applyFont="1" applyBorder="1" applyAlignment="1">
      <alignment horizontal="left"/>
    </xf>
    <xf numFmtId="0" fontId="4" fillId="0" borderId="1" xfId="0" applyFont="1" applyBorder="1" applyAlignment="1">
      <alignment horizontal="center"/>
    </xf>
    <xf numFmtId="8" fontId="11" fillId="0" borderId="4" xfId="0" applyNumberFormat="1" applyFont="1" applyBorder="1"/>
    <xf numFmtId="0" fontId="44" fillId="0" borderId="4" xfId="0" applyFont="1" applyBorder="1"/>
    <xf numFmtId="0" fontId="11" fillId="0" borderId="4" xfId="0" applyFont="1" applyBorder="1"/>
    <xf numFmtId="0" fontId="9" fillId="0" borderId="5" xfId="0" applyFont="1" applyBorder="1"/>
    <xf numFmtId="10" fontId="4" fillId="0" borderId="47" xfId="0" applyNumberFormat="1" applyFont="1" applyBorder="1"/>
    <xf numFmtId="0" fontId="11" fillId="0" borderId="1" xfId="0" applyFont="1" applyBorder="1"/>
    <xf numFmtId="0" fontId="4" fillId="0" borderId="47" xfId="0" applyFont="1" applyBorder="1" applyAlignment="1">
      <alignment horizontal="center"/>
    </xf>
    <xf numFmtId="0" fontId="4" fillId="0" borderId="1" xfId="0" applyFont="1" applyBorder="1"/>
    <xf numFmtId="8" fontId="9" fillId="0" borderId="4" xfId="0" applyNumberFormat="1" applyFont="1" applyBorder="1"/>
    <xf numFmtId="8" fontId="2" fillId="0" borderId="24" xfId="0" applyNumberFormat="1" applyFont="1" applyBorder="1"/>
    <xf numFmtId="0" fontId="0" fillId="0" borderId="0" xfId="0" applyBorder="1"/>
    <xf numFmtId="44" fontId="1" fillId="0" borderId="77" xfId="2" applyFont="1" applyBorder="1"/>
    <xf numFmtId="44" fontId="28" fillId="0" borderId="78" xfId="2" applyFont="1" applyFill="1" applyBorder="1"/>
    <xf numFmtId="44" fontId="1" fillId="0" borderId="78" xfId="2" applyFont="1" applyBorder="1"/>
    <xf numFmtId="44" fontId="4" fillId="7" borderId="4" xfId="2" applyFont="1" applyFill="1" applyBorder="1"/>
    <xf numFmtId="44" fontId="1" fillId="7" borderId="49" xfId="2" applyFont="1" applyFill="1" applyBorder="1"/>
    <xf numFmtId="44" fontId="15" fillId="8" borderId="7" xfId="2" applyNumberFormat="1" applyFont="1" applyFill="1" applyBorder="1"/>
    <xf numFmtId="0" fontId="14" fillId="7" borderId="15" xfId="0" applyFont="1" applyFill="1" applyBorder="1" applyAlignment="1">
      <alignment horizontal="center" vertical="center" wrapText="1"/>
    </xf>
    <xf numFmtId="44" fontId="28" fillId="7" borderId="16" xfId="2" applyFont="1" applyFill="1" applyBorder="1"/>
    <xf numFmtId="44" fontId="4" fillId="7" borderId="14" xfId="2" applyFont="1" applyFill="1" applyBorder="1"/>
    <xf numFmtId="44" fontId="11" fillId="7" borderId="14" xfId="2" applyFont="1" applyFill="1" applyBorder="1"/>
    <xf numFmtId="44" fontId="28" fillId="7" borderId="48" xfId="2" applyFont="1" applyFill="1" applyBorder="1"/>
    <xf numFmtId="8" fontId="1" fillId="7" borderId="78" xfId="2" applyNumberFormat="1" applyFont="1" applyFill="1" applyBorder="1"/>
    <xf numFmtId="8" fontId="1" fillId="8" borderId="61" xfId="2" applyNumberFormat="1" applyFont="1" applyFill="1" applyBorder="1"/>
    <xf numFmtId="8" fontId="28" fillId="3" borderId="79" xfId="2" applyNumberFormat="1" applyFont="1" applyFill="1" applyBorder="1"/>
    <xf numFmtId="44" fontId="28" fillId="7" borderId="66" xfId="2" applyFont="1" applyFill="1" applyBorder="1"/>
    <xf numFmtId="44" fontId="28" fillId="7" borderId="59" xfId="2" applyFont="1" applyFill="1" applyBorder="1"/>
    <xf numFmtId="44" fontId="4" fillId="7" borderId="60" xfId="2" applyNumberFormat="1" applyFont="1" applyFill="1" applyBorder="1"/>
    <xf numFmtId="44" fontId="11" fillId="7" borderId="60" xfId="2" applyFont="1" applyFill="1" applyBorder="1"/>
    <xf numFmtId="44" fontId="1" fillId="7" borderId="65" xfId="2" applyFont="1" applyFill="1" applyBorder="1"/>
    <xf numFmtId="44" fontId="1" fillId="7" borderId="79" xfId="2" applyFont="1" applyFill="1" applyBorder="1"/>
    <xf numFmtId="44" fontId="1" fillId="7" borderId="54" xfId="2" applyFont="1" applyFill="1" applyBorder="1"/>
    <xf numFmtId="44" fontId="4" fillId="7" borderId="55" xfId="2" applyFont="1" applyFill="1" applyBorder="1"/>
    <xf numFmtId="44" fontId="1" fillId="7" borderId="64" xfId="2" applyFont="1" applyFill="1" applyBorder="1"/>
    <xf numFmtId="44" fontId="1" fillId="7" borderId="77" xfId="2" applyFont="1" applyFill="1" applyBorder="1"/>
    <xf numFmtId="44" fontId="1" fillId="7" borderId="79" xfId="2" applyFont="1" applyFill="1" applyBorder="1"/>
    <xf numFmtId="44" fontId="1" fillId="7" borderId="3" xfId="2" applyFont="1" applyFill="1" applyBorder="1"/>
    <xf numFmtId="44" fontId="1" fillId="7" borderId="23" xfId="2" applyFont="1" applyFill="1" applyBorder="1"/>
    <xf numFmtId="44" fontId="4" fillId="7" borderId="11" xfId="2" applyFont="1" applyFill="1" applyBorder="1"/>
    <xf numFmtId="44" fontId="1" fillId="9" borderId="11" xfId="2" applyFont="1" applyFill="1" applyBorder="1"/>
    <xf numFmtId="44" fontId="9" fillId="9" borderId="11" xfId="2" applyFont="1" applyFill="1" applyBorder="1"/>
    <xf numFmtId="44" fontId="1" fillId="9" borderId="52" xfId="2" applyFont="1" applyFill="1" applyBorder="1"/>
    <xf numFmtId="44" fontId="1" fillId="7" borderId="26" xfId="2" applyFont="1" applyFill="1" applyBorder="1"/>
    <xf numFmtId="44" fontId="4" fillId="7" borderId="27" xfId="2" applyFont="1" applyFill="1" applyBorder="1"/>
    <xf numFmtId="44" fontId="1" fillId="7" borderId="27" xfId="2" applyFont="1" applyFill="1" applyBorder="1"/>
    <xf numFmtId="44" fontId="11" fillId="7" borderId="27" xfId="2" applyFont="1" applyFill="1" applyBorder="1"/>
    <xf numFmtId="44" fontId="1" fillId="7" borderId="28" xfId="2" applyFont="1" applyFill="1" applyBorder="1"/>
    <xf numFmtId="44" fontId="1" fillId="7" borderId="29" xfId="2" applyFont="1" applyFill="1" applyBorder="1"/>
    <xf numFmtId="44" fontId="9" fillId="7" borderId="27" xfId="2" applyFont="1" applyFill="1" applyBorder="1"/>
    <xf numFmtId="44" fontId="44" fillId="7" borderId="27" xfId="2" applyFont="1" applyFill="1" applyBorder="1"/>
    <xf numFmtId="44" fontId="1" fillId="7" borderId="80" xfId="2" applyFont="1" applyFill="1" applyBorder="1"/>
    <xf numFmtId="8" fontId="0" fillId="0" borderId="81" xfId="0" applyNumberFormat="1" applyBorder="1"/>
    <xf numFmtId="0" fontId="0" fillId="0" borderId="81" xfId="0" applyBorder="1"/>
    <xf numFmtId="8" fontId="0" fillId="0" borderId="30" xfId="0" applyNumberFormat="1" applyBorder="1" applyAlignment="1">
      <alignment vertical="center"/>
    </xf>
    <xf numFmtId="0" fontId="0" fillId="0" borderId="31" xfId="0" applyBorder="1" applyAlignment="1">
      <alignment vertical="center"/>
    </xf>
    <xf numFmtId="44" fontId="1" fillId="7" borderId="55" xfId="2" applyFont="1" applyFill="1" applyBorder="1"/>
    <xf numFmtId="0" fontId="47" fillId="0" borderId="70" xfId="0" applyFont="1" applyBorder="1"/>
    <xf numFmtId="8" fontId="47" fillId="0" borderId="4" xfId="0" applyNumberFormat="1" applyFont="1" applyBorder="1"/>
    <xf numFmtId="8" fontId="1" fillId="7" borderId="17" xfId="2" applyNumberFormat="1" applyFont="1" applyFill="1" applyBorder="1"/>
    <xf numFmtId="8" fontId="23" fillId="0" borderId="32" xfId="0" applyNumberFormat="1" applyFont="1" applyBorder="1" applyAlignment="1">
      <alignment horizontal="center" vertical="center" wrapText="1"/>
    </xf>
    <xf numFmtId="8" fontId="12" fillId="0" borderId="82" xfId="0" applyNumberFormat="1" applyFont="1" applyBorder="1" applyAlignment="1">
      <alignment horizontal="center" vertical="center" wrapText="1"/>
    </xf>
    <xf numFmtId="8" fontId="0" fillId="0" borderId="9" xfId="0" applyNumberFormat="1" applyBorder="1"/>
    <xf numFmtId="8" fontId="4" fillId="0" borderId="32" xfId="0" applyNumberFormat="1" applyFont="1" applyBorder="1" applyAlignment="1">
      <alignment horizontal="center" vertical="center" wrapText="1"/>
    </xf>
    <xf numFmtId="8" fontId="11" fillId="0" borderId="82" xfId="0" applyNumberFormat="1" applyFont="1" applyBorder="1" applyAlignment="1">
      <alignment horizontal="center" vertical="center" wrapText="1"/>
    </xf>
    <xf numFmtId="44" fontId="4" fillId="6" borderId="60" xfId="2" applyFont="1" applyFill="1" applyBorder="1"/>
    <xf numFmtId="44" fontId="4" fillId="6" borderId="4" xfId="2" applyFont="1" applyFill="1" applyBorder="1"/>
    <xf numFmtId="44" fontId="1" fillId="8" borderId="14" xfId="2" applyFont="1" applyFill="1" applyBorder="1"/>
    <xf numFmtId="44" fontId="44" fillId="0" borderId="14" xfId="2" applyFont="1" applyFill="1" applyBorder="1"/>
    <xf numFmtId="44" fontId="5" fillId="0" borderId="18" xfId="2" applyFont="1" applyFill="1" applyBorder="1"/>
    <xf numFmtId="44" fontId="5" fillId="0" borderId="14" xfId="2" applyFont="1" applyFill="1" applyBorder="1"/>
    <xf numFmtId="44" fontId="28" fillId="7" borderId="33" xfId="2" applyFont="1" applyFill="1" applyBorder="1"/>
    <xf numFmtId="44" fontId="4" fillId="7" borderId="34" xfId="2" applyFont="1" applyFill="1" applyBorder="1"/>
    <xf numFmtId="44" fontId="28" fillId="7" borderId="34" xfId="2" applyFont="1" applyFill="1" applyBorder="1"/>
    <xf numFmtId="44" fontId="11" fillId="7" borderId="34" xfId="2" applyFont="1" applyFill="1" applyBorder="1"/>
    <xf numFmtId="44" fontId="28" fillId="7" borderId="35" xfId="2" applyFont="1" applyFill="1" applyBorder="1"/>
    <xf numFmtId="44" fontId="28" fillId="7" borderId="83" xfId="2" applyFont="1" applyFill="1" applyBorder="1"/>
    <xf numFmtId="44" fontId="28" fillId="7" borderId="36" xfId="2" applyFont="1" applyFill="1" applyBorder="1"/>
    <xf numFmtId="44" fontId="9" fillId="7" borderId="34" xfId="2" applyFont="1" applyFill="1" applyBorder="1"/>
    <xf numFmtId="44" fontId="44" fillId="7" borderId="34" xfId="2" applyFont="1" applyFill="1" applyBorder="1"/>
    <xf numFmtId="44" fontId="9" fillId="7" borderId="36" xfId="2" applyFont="1" applyFill="1" applyBorder="1"/>
    <xf numFmtId="0" fontId="2" fillId="7" borderId="19" xfId="0" applyFont="1" applyFill="1" applyBorder="1" applyAlignment="1">
      <alignment horizontal="center" vertical="center" wrapText="1"/>
    </xf>
    <xf numFmtId="44" fontId="28" fillId="7" borderId="20" xfId="2" applyFont="1" applyFill="1" applyBorder="1"/>
    <xf numFmtId="44" fontId="4" fillId="7" borderId="7" xfId="2" applyFont="1" applyFill="1" applyBorder="1"/>
    <xf numFmtId="44" fontId="28" fillId="7" borderId="7" xfId="2" applyFont="1" applyFill="1" applyBorder="1"/>
    <xf numFmtId="44" fontId="28" fillId="7" borderId="21" xfId="2" applyFont="1" applyFill="1" applyBorder="1"/>
    <xf numFmtId="44" fontId="28" fillId="7" borderId="50" xfId="2" applyFont="1" applyFill="1" applyBorder="1"/>
    <xf numFmtId="44" fontId="28" fillId="7" borderId="13" xfId="2" applyFont="1" applyFill="1" applyBorder="1"/>
    <xf numFmtId="44" fontId="28" fillId="8" borderId="7" xfId="2" applyFont="1" applyFill="1" applyBorder="1"/>
    <xf numFmtId="44" fontId="28" fillId="7" borderId="7" xfId="2" applyNumberFormat="1" applyFont="1" applyFill="1" applyBorder="1"/>
    <xf numFmtId="44" fontId="5" fillId="0" borderId="13" xfId="2" applyFont="1" applyFill="1" applyBorder="1"/>
    <xf numFmtId="44" fontId="5" fillId="0" borderId="7" xfId="2" applyFont="1" applyFill="1" applyBorder="1"/>
    <xf numFmtId="44" fontId="9" fillId="0" borderId="13" xfId="2" applyFont="1" applyFill="1" applyBorder="1"/>
    <xf numFmtId="44" fontId="5" fillId="7" borderId="13" xfId="2" applyFont="1" applyFill="1" applyBorder="1"/>
    <xf numFmtId="44" fontId="5" fillId="7" borderId="7" xfId="2" applyFont="1" applyFill="1" applyBorder="1"/>
    <xf numFmtId="44" fontId="4" fillId="0" borderId="14" xfId="2" applyNumberFormat="1" applyFont="1" applyFill="1" applyBorder="1"/>
    <xf numFmtId="44" fontId="1" fillId="7" borderId="17" xfId="2" applyFont="1" applyFill="1" applyBorder="1"/>
    <xf numFmtId="44" fontId="1" fillId="7" borderId="16" xfId="2" applyFont="1" applyFill="1" applyBorder="1"/>
    <xf numFmtId="44" fontId="1" fillId="7" borderId="14" xfId="2" applyFont="1" applyFill="1" applyBorder="1"/>
    <xf numFmtId="44" fontId="1" fillId="7" borderId="46" xfId="2" applyFont="1" applyFill="1" applyBorder="1"/>
    <xf numFmtId="44" fontId="1" fillId="7" borderId="18" xfId="2" applyFont="1" applyFill="1" applyBorder="1"/>
    <xf numFmtId="0" fontId="2" fillId="0" borderId="19" xfId="0" applyFont="1" applyBorder="1" applyAlignment="1">
      <alignment horizontal="center" vertical="center" wrapText="1"/>
    </xf>
    <xf numFmtId="44" fontId="0" fillId="0" borderId="20" xfId="2" applyFont="1" applyBorder="1"/>
    <xf numFmtId="44" fontId="4" fillId="0" borderId="7" xfId="2" applyFont="1" applyBorder="1"/>
    <xf numFmtId="44" fontId="0" fillId="0" borderId="7" xfId="2" applyFont="1" applyBorder="1"/>
    <xf numFmtId="44" fontId="11" fillId="0" borderId="7" xfId="2" applyFont="1" applyBorder="1"/>
    <xf numFmtId="44" fontId="0" fillId="0" borderId="21" xfId="2" applyFont="1" applyBorder="1"/>
    <xf numFmtId="44" fontId="1" fillId="0" borderId="50" xfId="2" applyFont="1" applyBorder="1"/>
    <xf numFmtId="44" fontId="0" fillId="0" borderId="13" xfId="2" applyFont="1" applyBorder="1"/>
    <xf numFmtId="44" fontId="44" fillId="6" borderId="7" xfId="2" applyFont="1" applyFill="1" applyBorder="1"/>
    <xf numFmtId="44" fontId="9" fillId="0" borderId="7" xfId="2" applyFont="1" applyBorder="1"/>
    <xf numFmtId="44" fontId="44" fillId="0" borderId="7" xfId="2" applyFont="1" applyBorder="1"/>
    <xf numFmtId="44" fontId="9" fillId="0" borderId="13" xfId="2" applyFont="1" applyBorder="1"/>
    <xf numFmtId="44" fontId="1" fillId="9" borderId="14" xfId="2" applyFont="1" applyFill="1" applyBorder="1"/>
    <xf numFmtId="44" fontId="28" fillId="0" borderId="51" xfId="2" applyNumberFormat="1" applyFont="1" applyFill="1" applyBorder="1"/>
    <xf numFmtId="44" fontId="28" fillId="0" borderId="84" xfId="2" applyFont="1" applyFill="1" applyBorder="1"/>
    <xf numFmtId="44" fontId="28" fillId="0" borderId="85" xfId="2" applyFont="1" applyFill="1" applyBorder="1"/>
    <xf numFmtId="44" fontId="13" fillId="7" borderId="50" xfId="2" applyFont="1" applyFill="1" applyBorder="1"/>
    <xf numFmtId="44" fontId="1" fillId="7" borderId="51" xfId="2" applyFont="1" applyFill="1" applyBorder="1"/>
    <xf numFmtId="44" fontId="13" fillId="7" borderId="46" xfId="2" applyFont="1" applyFill="1" applyBorder="1" applyAlignment="1">
      <alignment horizontal="left"/>
    </xf>
    <xf numFmtId="44" fontId="1" fillId="7" borderId="48" xfId="2" applyFont="1" applyFill="1" applyBorder="1"/>
    <xf numFmtId="44" fontId="28" fillId="7" borderId="84" xfId="2" applyFont="1" applyFill="1" applyBorder="1"/>
    <xf numFmtId="44" fontId="28" fillId="7" borderId="85" xfId="2" applyFont="1" applyFill="1" applyBorder="1"/>
    <xf numFmtId="44" fontId="28" fillId="7" borderId="51" xfId="2" applyFont="1" applyFill="1" applyBorder="1"/>
    <xf numFmtId="44" fontId="1" fillId="0" borderId="7" xfId="2" applyFont="1" applyFill="1" applyBorder="1"/>
    <xf numFmtId="44" fontId="1" fillId="0" borderId="14" xfId="2" applyFont="1" applyFill="1" applyBorder="1"/>
    <xf numFmtId="0" fontId="14" fillId="7" borderId="19" xfId="0" applyFont="1" applyFill="1" applyBorder="1" applyAlignment="1">
      <alignment horizontal="center" vertical="center" wrapText="1"/>
    </xf>
    <xf numFmtId="8" fontId="28" fillId="8" borderId="21" xfId="2" applyNumberFormat="1" applyFont="1" applyFill="1" applyBorder="1"/>
    <xf numFmtId="8" fontId="28" fillId="7" borderId="84" xfId="2" applyNumberFormat="1" applyFont="1" applyFill="1" applyBorder="1"/>
    <xf numFmtId="8" fontId="1" fillId="3" borderId="85" xfId="2" applyNumberFormat="1" applyFont="1" applyFill="1" applyBorder="1"/>
    <xf numFmtId="44" fontId="28" fillId="7" borderId="46" xfId="2" applyFont="1" applyFill="1" applyBorder="1" applyAlignment="1">
      <alignment horizontal="left"/>
    </xf>
    <xf numFmtId="8" fontId="9" fillId="7" borderId="34" xfId="2" applyNumberFormat="1" applyFont="1" applyFill="1" applyBorder="1"/>
    <xf numFmtId="44" fontId="28" fillId="7" borderId="86" xfId="2" applyFont="1" applyFill="1" applyBorder="1"/>
    <xf numFmtId="44" fontId="28" fillId="7" borderId="87" xfId="2" applyFont="1" applyFill="1" applyBorder="1"/>
    <xf numFmtId="44" fontId="28" fillId="0" borderId="50" xfId="2" applyNumberFormat="1" applyFont="1" applyFill="1" applyBorder="1"/>
    <xf numFmtId="44" fontId="1" fillId="7" borderId="46" xfId="2" applyFont="1" applyFill="1" applyBorder="1" applyAlignment="1">
      <alignment horizontal="left"/>
    </xf>
    <xf numFmtId="44" fontId="1" fillId="7" borderId="85" xfId="2" applyFont="1" applyFill="1" applyBorder="1"/>
    <xf numFmtId="0" fontId="2" fillId="0" borderId="88" xfId="0" applyFont="1" applyBorder="1" applyAlignment="1">
      <alignment horizontal="center" vertical="center" wrapText="1"/>
    </xf>
    <xf numFmtId="44" fontId="1" fillId="0" borderId="51" xfId="2" applyFont="1" applyBorder="1"/>
    <xf numFmtId="44" fontId="1" fillId="0" borderId="84" xfId="2" applyFont="1" applyBorder="1"/>
    <xf numFmtId="44" fontId="1" fillId="9" borderId="46" xfId="2" applyFont="1" applyFill="1" applyBorder="1" applyAlignment="1">
      <alignment horizontal="left"/>
    </xf>
    <xf numFmtId="8" fontId="9" fillId="8" borderId="14" xfId="2" applyNumberFormat="1" applyFont="1" applyFill="1" applyBorder="1"/>
    <xf numFmtId="8" fontId="9" fillId="8" borderId="7" xfId="2" applyNumberFormat="1" applyFont="1" applyFill="1" applyBorder="1"/>
    <xf numFmtId="44" fontId="28" fillId="0" borderId="7" xfId="2" applyNumberFormat="1" applyFont="1" applyFill="1" applyBorder="1"/>
    <xf numFmtId="44" fontId="28" fillId="10" borderId="14" xfId="2" applyFont="1" applyFill="1" applyBorder="1"/>
    <xf numFmtId="44" fontId="28" fillId="10" borderId="7" xfId="2" applyFont="1" applyFill="1" applyBorder="1"/>
    <xf numFmtId="44" fontId="1" fillId="10" borderId="14" xfId="2" applyFont="1" applyFill="1" applyBorder="1"/>
    <xf numFmtId="44" fontId="13" fillId="10" borderId="46" xfId="2" applyFont="1" applyFill="1" applyBorder="1" applyAlignment="1">
      <alignment horizontal="left"/>
    </xf>
    <xf numFmtId="44" fontId="13" fillId="10" borderId="50" xfId="2" applyFont="1" applyFill="1" applyBorder="1"/>
    <xf numFmtId="44" fontId="1" fillId="10" borderId="18" xfId="2" applyFont="1" applyFill="1" applyBorder="1"/>
    <xf numFmtId="44" fontId="9" fillId="10" borderId="13" xfId="2" applyFont="1" applyFill="1" applyBorder="1"/>
    <xf numFmtId="44" fontId="9" fillId="10" borderId="7" xfId="2" applyFont="1" applyFill="1" applyBorder="1"/>
    <xf numFmtId="44" fontId="28" fillId="10" borderId="46" xfId="2" applyFont="1" applyFill="1" applyBorder="1" applyAlignment="1">
      <alignment horizontal="left"/>
    </xf>
    <xf numFmtId="44" fontId="28" fillId="10" borderId="50" xfId="2" applyFont="1" applyFill="1" applyBorder="1"/>
    <xf numFmtId="44" fontId="28" fillId="10" borderId="18" xfId="2" applyFont="1" applyFill="1" applyBorder="1"/>
    <xf numFmtId="44" fontId="28" fillId="10" borderId="7" xfId="2" applyNumberFormat="1" applyFont="1" applyFill="1" applyBorder="1"/>
    <xf numFmtId="44" fontId="28" fillId="10" borderId="46" xfId="2" applyFont="1" applyFill="1" applyBorder="1"/>
    <xf numFmtId="44" fontId="28" fillId="0" borderId="75" xfId="2" applyFont="1" applyFill="1" applyBorder="1"/>
    <xf numFmtId="44" fontId="28" fillId="0" borderId="76" xfId="2" applyFont="1" applyFill="1" applyBorder="1"/>
    <xf numFmtId="44" fontId="28" fillId="10" borderId="85" xfId="2" applyFont="1" applyFill="1" applyBorder="1"/>
    <xf numFmtId="44" fontId="28" fillId="10" borderId="84" xfId="2" applyFont="1" applyFill="1" applyBorder="1"/>
    <xf numFmtId="44" fontId="15" fillId="10" borderId="7" xfId="2" applyNumberFormat="1" applyFont="1" applyFill="1" applyBorder="1"/>
    <xf numFmtId="44" fontId="9" fillId="10" borderId="14" xfId="2" applyFont="1" applyFill="1" applyBorder="1"/>
    <xf numFmtId="8" fontId="28" fillId="7" borderId="21" xfId="2" applyNumberFormat="1" applyFont="1" applyFill="1" applyBorder="1"/>
    <xf numFmtId="8" fontId="1" fillId="7" borderId="61" xfId="2" applyNumberFormat="1" applyFont="1" applyFill="1" applyBorder="1"/>
    <xf numFmtId="8" fontId="1" fillId="7" borderId="60" xfId="2" applyNumberFormat="1" applyFont="1" applyFill="1" applyBorder="1"/>
    <xf numFmtId="8" fontId="28" fillId="7" borderId="24" xfId="2" applyNumberFormat="1" applyFont="1" applyFill="1" applyBorder="1"/>
    <xf numFmtId="44" fontId="9" fillId="10" borderId="55" xfId="2" applyFont="1" applyFill="1" applyBorder="1"/>
    <xf numFmtId="8" fontId="1" fillId="10" borderId="17" xfId="2" applyNumberFormat="1" applyFont="1" applyFill="1" applyBorder="1"/>
    <xf numFmtId="8" fontId="28" fillId="10" borderId="24" xfId="2" applyNumberFormat="1" applyFont="1" applyFill="1" applyBorder="1"/>
    <xf numFmtId="44" fontId="28" fillId="10" borderId="55" xfId="2" applyFont="1" applyFill="1" applyBorder="1"/>
    <xf numFmtId="44" fontId="28" fillId="10" borderId="11" xfId="2" applyFont="1" applyFill="1" applyBorder="1"/>
    <xf numFmtId="44" fontId="28" fillId="10" borderId="60" xfId="2" applyFont="1" applyFill="1" applyBorder="1"/>
    <xf numFmtId="8" fontId="1" fillId="10" borderId="61" xfId="2" applyNumberFormat="1" applyFont="1" applyFill="1" applyBorder="1"/>
    <xf numFmtId="8" fontId="28" fillId="10" borderId="21" xfId="2" applyNumberFormat="1" applyFont="1" applyFill="1" applyBorder="1"/>
    <xf numFmtId="8" fontId="28" fillId="10" borderId="34" xfId="2" applyNumberFormat="1" applyFont="1" applyFill="1" applyBorder="1"/>
    <xf numFmtId="44" fontId="28" fillId="10" borderId="34" xfId="2" applyFont="1" applyFill="1" applyBorder="1"/>
    <xf numFmtId="44" fontId="1" fillId="10" borderId="7" xfId="2" applyFont="1" applyFill="1" applyBorder="1"/>
    <xf numFmtId="8" fontId="44" fillId="10" borderId="14" xfId="2" applyNumberFormat="1" applyFont="1" applyFill="1" applyBorder="1"/>
    <xf numFmtId="44" fontId="44" fillId="10" borderId="7" xfId="2" applyFont="1" applyFill="1" applyBorder="1"/>
    <xf numFmtId="44" fontId="44" fillId="10" borderId="14" xfId="2" applyFont="1" applyFill="1" applyBorder="1"/>
    <xf numFmtId="44" fontId="44" fillId="10" borderId="55" xfId="2" applyFont="1" applyFill="1" applyBorder="1"/>
    <xf numFmtId="44" fontId="1" fillId="10" borderId="4" xfId="2" applyFont="1" applyFill="1" applyBorder="1"/>
    <xf numFmtId="44" fontId="1" fillId="10" borderId="27" xfId="2" applyFont="1" applyFill="1" applyBorder="1"/>
    <xf numFmtId="44" fontId="1" fillId="9" borderId="18" xfId="2" applyFont="1" applyFill="1" applyBorder="1"/>
    <xf numFmtId="44" fontId="9" fillId="9" borderId="12" xfId="2" applyFont="1" applyFill="1" applyBorder="1"/>
    <xf numFmtId="44" fontId="4" fillId="7" borderId="14" xfId="2" applyNumberFormat="1" applyFont="1" applyFill="1" applyBorder="1"/>
    <xf numFmtId="44" fontId="11" fillId="7" borderId="7" xfId="2" applyNumberFormat="1" applyFont="1" applyFill="1" applyBorder="1"/>
    <xf numFmtId="44" fontId="28" fillId="7" borderId="72" xfId="2" applyFont="1" applyFill="1" applyBorder="1"/>
    <xf numFmtId="44" fontId="28" fillId="7" borderId="76" xfId="2" applyFont="1" applyFill="1" applyBorder="1"/>
    <xf numFmtId="44" fontId="28" fillId="7" borderId="51" xfId="2" applyNumberFormat="1" applyFont="1" applyFill="1" applyBorder="1"/>
    <xf numFmtId="0" fontId="48" fillId="0" borderId="0" xfId="0" applyFont="1" applyAlignment="1">
      <alignment horizontal="center"/>
    </xf>
    <xf numFmtId="8" fontId="3" fillId="0" borderId="24" xfId="0" applyNumberFormat="1" applyFont="1" applyBorder="1"/>
    <xf numFmtId="44" fontId="44" fillId="0" borderId="21" xfId="2" applyFont="1" applyBorder="1"/>
    <xf numFmtId="44" fontId="44" fillId="7" borderId="17" xfId="2" applyFont="1" applyFill="1" applyBorder="1"/>
    <xf numFmtId="44" fontId="44" fillId="7" borderId="24" xfId="2" applyFont="1" applyFill="1" applyBorder="1"/>
    <xf numFmtId="44" fontId="44" fillId="0" borderId="61" xfId="2" applyFont="1" applyBorder="1"/>
    <xf numFmtId="44" fontId="44" fillId="7" borderId="56" xfId="2" applyFont="1" applyFill="1" applyBorder="1"/>
    <xf numFmtId="8" fontId="44" fillId="10" borderId="17" xfId="2" applyNumberFormat="1" applyFont="1" applyFill="1" applyBorder="1"/>
    <xf numFmtId="44" fontId="44" fillId="10" borderId="21" xfId="2" applyFont="1" applyFill="1" applyBorder="1"/>
    <xf numFmtId="44" fontId="44" fillId="7" borderId="21" xfId="2" applyFont="1" applyFill="1" applyBorder="1"/>
    <xf numFmtId="44" fontId="44" fillId="0" borderId="17" xfId="2" applyFont="1" applyFill="1" applyBorder="1"/>
    <xf numFmtId="44" fontId="44" fillId="0" borderId="21" xfId="2" applyFont="1" applyFill="1" applyBorder="1"/>
    <xf numFmtId="44" fontId="44" fillId="7" borderId="35" xfId="2" applyFont="1" applyFill="1" applyBorder="1"/>
    <xf numFmtId="44" fontId="44" fillId="0" borderId="24" xfId="2" applyFont="1" applyFill="1" applyBorder="1"/>
    <xf numFmtId="44" fontId="44" fillId="7" borderId="61" xfId="2" applyFont="1" applyFill="1" applyBorder="1"/>
    <xf numFmtId="44" fontId="44" fillId="0" borderId="56" xfId="2" applyFont="1" applyFill="1" applyBorder="1"/>
    <xf numFmtId="0" fontId="0" fillId="0" borderId="0" xfId="0" applyNumberFormat="1"/>
    <xf numFmtId="8" fontId="51" fillId="0" borderId="37" xfId="0" applyNumberFormat="1" applyFont="1" applyBorder="1" applyAlignment="1">
      <alignment horizontal="center" vertical="center"/>
    </xf>
    <xf numFmtId="0" fontId="4" fillId="6" borderId="38" xfId="0" applyNumberFormat="1" applyFont="1" applyFill="1" applyBorder="1" applyAlignment="1">
      <alignment horizontal="center" vertical="center"/>
    </xf>
    <xf numFmtId="0" fontId="50" fillId="0" borderId="8" xfId="0" applyFont="1" applyBorder="1"/>
    <xf numFmtId="0" fontId="54" fillId="0" borderId="8" xfId="0" applyFont="1" applyBorder="1"/>
    <xf numFmtId="44" fontId="54" fillId="7" borderId="28" xfId="2" applyFont="1" applyFill="1" applyBorder="1"/>
    <xf numFmtId="44" fontId="54" fillId="7" borderId="5" xfId="2" applyFont="1" applyFill="1" applyBorder="1"/>
    <xf numFmtId="44" fontId="54" fillId="0" borderId="5" xfId="2" applyFont="1" applyBorder="1"/>
    <xf numFmtId="44" fontId="54" fillId="0" borderId="21" xfId="2" applyFont="1" applyBorder="1"/>
    <xf numFmtId="8" fontId="50" fillId="0" borderId="5" xfId="2" applyNumberFormat="1" applyFont="1" applyBorder="1"/>
    <xf numFmtId="44" fontId="50" fillId="0" borderId="21" xfId="2" applyFont="1" applyBorder="1"/>
    <xf numFmtId="0" fontId="54" fillId="0" borderId="0" xfId="0" applyFont="1" applyBorder="1"/>
    <xf numFmtId="44" fontId="54" fillId="7" borderId="0" xfId="2" applyFont="1" applyFill="1" applyBorder="1"/>
    <xf numFmtId="44" fontId="54" fillId="0" borderId="0" xfId="2" applyFont="1" applyBorder="1"/>
    <xf numFmtId="44" fontId="54" fillId="0" borderId="101" xfId="2" applyFont="1" applyBorder="1"/>
    <xf numFmtId="44" fontId="1" fillId="7" borderId="0" xfId="2" applyFont="1" applyFill="1" applyBorder="1"/>
    <xf numFmtId="44" fontId="1" fillId="0" borderId="102" xfId="2" applyFont="1" applyBorder="1"/>
    <xf numFmtId="44" fontId="0" fillId="0" borderId="101" xfId="2" applyFont="1" applyBorder="1"/>
    <xf numFmtId="44" fontId="1" fillId="7" borderId="103" xfId="2" applyFont="1" applyFill="1" applyBorder="1"/>
    <xf numFmtId="44" fontId="28" fillId="0" borderId="0" xfId="2" applyFont="1" applyFill="1" applyBorder="1"/>
    <xf numFmtId="44" fontId="28" fillId="0" borderId="101" xfId="2" applyFont="1" applyFill="1" applyBorder="1"/>
    <xf numFmtId="44" fontId="28" fillId="7" borderId="0" xfId="2" applyFont="1" applyFill="1" applyBorder="1"/>
    <xf numFmtId="44" fontId="28" fillId="7" borderId="101" xfId="2" applyFont="1" applyFill="1" applyBorder="1"/>
    <xf numFmtId="44" fontId="28" fillId="7" borderId="104" xfId="2" applyFont="1" applyFill="1" applyBorder="1"/>
    <xf numFmtId="44" fontId="28" fillId="7" borderId="102" xfId="2" applyFont="1" applyFill="1" applyBorder="1"/>
    <xf numFmtId="44" fontId="28" fillId="0" borderId="103" xfId="2" applyFont="1" applyFill="1" applyBorder="1"/>
    <xf numFmtId="44" fontId="50" fillId="7" borderId="28" xfId="2" applyFont="1" applyFill="1" applyBorder="1"/>
    <xf numFmtId="44" fontId="50" fillId="7" borderId="5" xfId="2" applyFont="1" applyFill="1" applyBorder="1"/>
    <xf numFmtId="44" fontId="50" fillId="0" borderId="5" xfId="2" applyFont="1" applyBorder="1"/>
    <xf numFmtId="8" fontId="4" fillId="7" borderId="37" xfId="0" applyNumberFormat="1" applyFont="1" applyFill="1" applyBorder="1" applyAlignment="1">
      <alignment horizontal="center" vertical="center" wrapText="1"/>
    </xf>
    <xf numFmtId="8" fontId="4" fillId="7" borderId="38" xfId="0" applyNumberFormat="1" applyFont="1" applyFill="1" applyBorder="1" applyAlignment="1">
      <alignment horizontal="center" vertical="center" wrapText="1"/>
    </xf>
    <xf numFmtId="0" fontId="47" fillId="7" borderId="37" xfId="0" applyFont="1" applyFill="1" applyBorder="1" applyAlignment="1">
      <alignment horizontal="center" vertical="center" wrapText="1"/>
    </xf>
    <xf numFmtId="0" fontId="4" fillId="7" borderId="38"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4" fillId="0" borderId="38" xfId="0" applyFont="1" applyFill="1" applyBorder="1" applyAlignment="1">
      <alignment horizontal="center" vertical="center" wrapText="1"/>
    </xf>
    <xf numFmtId="8" fontId="4" fillId="0" borderId="39" xfId="0" applyNumberFormat="1" applyFont="1" applyFill="1" applyBorder="1" applyAlignment="1">
      <alignment horizontal="center" vertical="center" wrapText="1"/>
    </xf>
    <xf numFmtId="8" fontId="4" fillId="0" borderId="38" xfId="0" applyNumberFormat="1" applyFont="1" applyFill="1" applyBorder="1" applyAlignment="1">
      <alignment horizontal="center" vertical="center" wrapText="1"/>
    </xf>
    <xf numFmtId="8" fontId="47" fillId="0" borderId="93" xfId="0" applyNumberFormat="1" applyFont="1" applyBorder="1" applyAlignment="1">
      <alignment horizontal="center"/>
    </xf>
    <xf numFmtId="8" fontId="9" fillId="0" borderId="93" xfId="0" applyNumberFormat="1" applyFont="1" applyBorder="1" applyAlignment="1">
      <alignment horizontal="center"/>
    </xf>
    <xf numFmtId="8" fontId="4" fillId="7" borderId="40" xfId="0" applyNumberFormat="1" applyFont="1" applyFill="1" applyBorder="1" applyAlignment="1">
      <alignment horizontal="center" vertical="center" wrapText="1"/>
    </xf>
    <xf numFmtId="0" fontId="4" fillId="0" borderId="40" xfId="0" applyFont="1" applyBorder="1" applyAlignment="1">
      <alignment horizontal="center" vertical="center" wrapText="1"/>
    </xf>
    <xf numFmtId="0" fontId="4" fillId="7" borderId="40" xfId="0" applyFont="1" applyFill="1" applyBorder="1" applyAlignment="1">
      <alignment horizontal="center" vertical="center" wrapText="1"/>
    </xf>
    <xf numFmtId="0" fontId="4" fillId="7" borderId="37" xfId="0" applyFont="1" applyFill="1" applyBorder="1" applyAlignment="1">
      <alignment horizontal="center" vertical="center" wrapText="1"/>
    </xf>
    <xf numFmtId="8" fontId="4" fillId="7" borderId="82" xfId="0" applyNumberFormat="1" applyFont="1" applyFill="1" applyBorder="1" applyAlignment="1">
      <alignment horizontal="center" vertical="center" wrapText="1"/>
    </xf>
    <xf numFmtId="8" fontId="4" fillId="0" borderId="82" xfId="0" applyNumberFormat="1" applyFont="1" applyBorder="1" applyAlignment="1">
      <alignment horizontal="center" vertical="center" wrapText="1"/>
    </xf>
    <xf numFmtId="0" fontId="47" fillId="0" borderId="89" xfId="0" applyFont="1" applyFill="1" applyBorder="1" applyAlignment="1">
      <alignment horizontal="center" wrapText="1"/>
    </xf>
    <xf numFmtId="0" fontId="47" fillId="0" borderId="90" xfId="0" applyFont="1" applyFill="1" applyBorder="1" applyAlignment="1">
      <alignment horizontal="center" wrapText="1"/>
    </xf>
    <xf numFmtId="0" fontId="47" fillId="0" borderId="91" xfId="0" applyFont="1" applyFill="1" applyBorder="1" applyAlignment="1">
      <alignment horizontal="center" wrapText="1"/>
    </xf>
    <xf numFmtId="8" fontId="4" fillId="2" borderId="40" xfId="0" applyNumberFormat="1" applyFont="1" applyFill="1" applyBorder="1" applyAlignment="1">
      <alignment horizontal="center" wrapText="1"/>
    </xf>
    <xf numFmtId="8" fontId="4" fillId="2" borderId="37" xfId="0" applyNumberFormat="1" applyFont="1" applyFill="1" applyBorder="1" applyAlignment="1">
      <alignment horizontal="center" wrapText="1"/>
    </xf>
    <xf numFmtId="8" fontId="4" fillId="0" borderId="37" xfId="0" applyNumberFormat="1" applyFont="1" applyBorder="1" applyAlignment="1">
      <alignment horizontal="center" vertical="center" wrapText="1"/>
    </xf>
    <xf numFmtId="8" fontId="4" fillId="0" borderId="38" xfId="0" applyNumberFormat="1" applyFont="1" applyBorder="1" applyAlignment="1">
      <alignment horizontal="center" vertical="center" wrapText="1"/>
    </xf>
    <xf numFmtId="8" fontId="4" fillId="0" borderId="37" xfId="0" applyNumberFormat="1" applyFont="1" applyFill="1" applyBorder="1" applyAlignment="1">
      <alignment horizontal="center" vertical="center" wrapText="1"/>
    </xf>
    <xf numFmtId="8" fontId="4" fillId="3" borderId="37" xfId="0" applyNumberFormat="1" applyFont="1" applyFill="1" applyBorder="1" applyAlignment="1">
      <alignment horizontal="center" vertical="center" wrapText="1"/>
    </xf>
    <xf numFmtId="8" fontId="4" fillId="3" borderId="39" xfId="0" applyNumberFormat="1" applyFont="1" applyFill="1" applyBorder="1" applyAlignment="1">
      <alignment horizontal="center" vertical="center" wrapText="1"/>
    </xf>
    <xf numFmtId="8" fontId="4" fillId="0" borderId="89" xfId="0" applyNumberFormat="1" applyFont="1" applyFill="1" applyBorder="1" applyAlignment="1">
      <alignment horizontal="center" vertical="center" wrapText="1"/>
    </xf>
    <xf numFmtId="8" fontId="4" fillId="0" borderId="91" xfId="0" applyNumberFormat="1" applyFont="1" applyFill="1" applyBorder="1" applyAlignment="1">
      <alignment horizontal="center" vertical="center" wrapText="1"/>
    </xf>
    <xf numFmtId="8" fontId="4" fillId="3" borderId="38" xfId="0" applyNumberFormat="1" applyFont="1" applyFill="1" applyBorder="1" applyAlignment="1">
      <alignment horizontal="center" vertical="center" wrapText="1"/>
    </xf>
    <xf numFmtId="8" fontId="49" fillId="7" borderId="89" xfId="0" applyNumberFormat="1" applyFont="1" applyFill="1" applyBorder="1" applyAlignment="1">
      <alignment horizontal="center" vertical="center" wrapText="1"/>
    </xf>
    <xf numFmtId="8" fontId="4" fillId="7" borderId="90" xfId="0" applyNumberFormat="1" applyFont="1" applyFill="1" applyBorder="1" applyAlignment="1">
      <alignment horizontal="center" vertical="center" wrapText="1"/>
    </xf>
    <xf numFmtId="8" fontId="49" fillId="7" borderId="39" xfId="0" applyNumberFormat="1" applyFont="1" applyFill="1" applyBorder="1" applyAlignment="1">
      <alignment horizontal="center" vertical="center" wrapText="1"/>
    </xf>
    <xf numFmtId="0" fontId="11" fillId="3" borderId="39" xfId="0" applyFont="1" applyFill="1" applyBorder="1" applyAlignment="1">
      <alignment horizontal="center" wrapText="1"/>
    </xf>
    <xf numFmtId="0" fontId="11" fillId="3" borderId="38" xfId="0" applyFont="1" applyFill="1" applyBorder="1" applyAlignment="1">
      <alignment horizontal="center" wrapText="1"/>
    </xf>
    <xf numFmtId="8" fontId="4" fillId="0" borderId="40" xfId="0" applyNumberFormat="1" applyFont="1" applyFill="1" applyBorder="1" applyAlignment="1">
      <alignment horizontal="center" wrapText="1"/>
    </xf>
    <xf numFmtId="8" fontId="49" fillId="3" borderId="37" xfId="0" applyNumberFormat="1" applyFont="1" applyFill="1" applyBorder="1" applyAlignment="1">
      <alignment horizontal="center" vertical="center" wrapText="1"/>
    </xf>
    <xf numFmtId="8" fontId="4" fillId="7" borderId="92" xfId="0" applyNumberFormat="1" applyFont="1" applyFill="1" applyBorder="1" applyAlignment="1">
      <alignment horizontal="center" vertical="center" wrapText="1"/>
    </xf>
    <xf numFmtId="8" fontId="50" fillId="0" borderId="93" xfId="0" applyNumberFormat="1" applyFont="1" applyBorder="1" applyAlignment="1">
      <alignment horizontal="center" vertical="center"/>
    </xf>
    <xf numFmtId="8" fontId="53" fillId="0" borderId="93" xfId="0" applyNumberFormat="1" applyFont="1" applyBorder="1" applyAlignment="1">
      <alignment horizontal="center" vertical="center"/>
    </xf>
    <xf numFmtId="0" fontId="11" fillId="0" borderId="42" xfId="0" applyFont="1" applyFill="1" applyBorder="1" applyAlignment="1">
      <alignment horizontal="center" wrapText="1"/>
    </xf>
    <xf numFmtId="0" fontId="11" fillId="0" borderId="43" xfId="0" applyFont="1" applyFill="1" applyBorder="1" applyAlignment="1">
      <alignment horizontal="center" wrapText="1"/>
    </xf>
    <xf numFmtId="0" fontId="11" fillId="0" borderId="95" xfId="0" applyFont="1" applyFill="1" applyBorder="1" applyAlignment="1">
      <alignment horizontal="center" vertical="center" wrapText="1"/>
    </xf>
    <xf numFmtId="0" fontId="11" fillId="0" borderId="96" xfId="0" applyFont="1" applyFill="1" applyBorder="1" applyAlignment="1">
      <alignment horizontal="center" vertical="center" wrapText="1"/>
    </xf>
    <xf numFmtId="0" fontId="11" fillId="0" borderId="97" xfId="0" applyFont="1" applyFill="1" applyBorder="1" applyAlignment="1">
      <alignment horizontal="center" vertical="center" wrapText="1"/>
    </xf>
    <xf numFmtId="0" fontId="11" fillId="0" borderId="98" xfId="0" applyFont="1" applyFill="1" applyBorder="1" applyAlignment="1">
      <alignment horizontal="center" vertical="center" wrapText="1"/>
    </xf>
    <xf numFmtId="0" fontId="11" fillId="0" borderId="44" xfId="0" applyFont="1" applyFill="1" applyBorder="1" applyAlignment="1">
      <alignment horizontal="center" vertical="center" wrapText="1"/>
    </xf>
    <xf numFmtId="0" fontId="11" fillId="0" borderId="99" xfId="0" applyFont="1" applyFill="1" applyBorder="1" applyAlignment="1">
      <alignment horizontal="center" vertical="center" wrapText="1"/>
    </xf>
    <xf numFmtId="0" fontId="47" fillId="0" borderId="100" xfId="0" applyFont="1" applyFill="1" applyBorder="1" applyAlignment="1">
      <alignment horizontal="center" vertical="center"/>
    </xf>
    <xf numFmtId="0" fontId="47" fillId="0" borderId="31" xfId="0" applyFont="1" applyFill="1" applyBorder="1" applyAlignment="1">
      <alignment horizontal="center" vertical="center"/>
    </xf>
    <xf numFmtId="0" fontId="47" fillId="0" borderId="45" xfId="0" applyFont="1" applyFill="1" applyBorder="1" applyAlignment="1">
      <alignment horizontal="center" vertical="center"/>
    </xf>
    <xf numFmtId="8" fontId="11" fillId="11" borderId="40" xfId="0" applyNumberFormat="1" applyFont="1" applyFill="1" applyBorder="1" applyAlignment="1">
      <alignment horizontal="center" vertical="center" wrapText="1"/>
    </xf>
    <xf numFmtId="0" fontId="47" fillId="7" borderId="38" xfId="0" applyFont="1" applyFill="1" applyBorder="1" applyAlignment="1">
      <alignment horizontal="center" vertical="center" wrapText="1"/>
    </xf>
    <xf numFmtId="8" fontId="0" fillId="0" borderId="41" xfId="0" applyNumberFormat="1" applyBorder="1" applyAlignment="1">
      <alignment horizontal="center"/>
    </xf>
    <xf numFmtId="8" fontId="52" fillId="0" borderId="30" xfId="0" applyNumberFormat="1" applyFont="1" applyBorder="1" applyAlignment="1">
      <alignment horizontal="center"/>
    </xf>
    <xf numFmtId="8" fontId="52" fillId="0" borderId="45" xfId="0" applyNumberFormat="1" applyFont="1" applyBorder="1" applyAlignment="1">
      <alignment horizontal="center"/>
    </xf>
    <xf numFmtId="0" fontId="4" fillId="0" borderId="40" xfId="0" applyFont="1" applyFill="1" applyBorder="1" applyAlignment="1">
      <alignment horizontal="center" vertical="center" wrapText="1"/>
    </xf>
    <xf numFmtId="8" fontId="11" fillId="7" borderId="39" xfId="0" applyNumberFormat="1" applyFont="1" applyFill="1" applyBorder="1" applyAlignment="1">
      <alignment horizontal="center" vertical="center" wrapText="1"/>
    </xf>
    <xf numFmtId="8" fontId="11" fillId="7" borderId="38" xfId="0" applyNumberFormat="1" applyFont="1" applyFill="1" applyBorder="1" applyAlignment="1">
      <alignment horizontal="center" vertical="center" wrapText="1"/>
    </xf>
    <xf numFmtId="8" fontId="4" fillId="0" borderId="94" xfId="0" applyNumberFormat="1" applyFont="1" applyFill="1" applyBorder="1" applyAlignment="1">
      <alignment horizontal="center" vertical="center" wrapText="1"/>
    </xf>
    <xf numFmtId="8" fontId="0" fillId="0" borderId="93" xfId="0" applyNumberFormat="1" applyBorder="1" applyAlignment="1">
      <alignment horizontal="center"/>
    </xf>
  </cellXfs>
  <cellStyles count="3">
    <cellStyle name="Comma" xfId="1" builtinId="3"/>
    <cellStyle name="Currency" xfId="2"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6"/>
  </sheetPr>
  <dimension ref="A1:BC59"/>
  <sheetViews>
    <sheetView zoomScale="78" zoomScaleNormal="78" workbookViewId="0">
      <pane xSplit="1" topLeftCell="B1" activePane="topRight" state="frozen"/>
      <selection pane="topRight" activeCell="B4" sqref="B4"/>
    </sheetView>
  </sheetViews>
  <sheetFormatPr defaultRowHeight="12.75" x14ac:dyDescent="0.2"/>
  <cols>
    <col min="1" max="1" width="53.42578125" bestFit="1" customWidth="1"/>
    <col min="2" max="2" width="13.85546875" customWidth="1"/>
    <col min="3" max="3" width="16" customWidth="1"/>
    <col min="4" max="4" width="14.28515625" customWidth="1"/>
    <col min="5" max="5" width="15" customWidth="1"/>
    <col min="6" max="6" width="14.28515625" customWidth="1"/>
    <col min="7" max="13" width="14.7109375" customWidth="1"/>
    <col min="14" max="14" width="16.7109375" customWidth="1"/>
    <col min="15" max="15" width="16.140625" customWidth="1"/>
    <col min="16" max="16" width="14.28515625" customWidth="1"/>
    <col min="17" max="17" width="14.7109375" customWidth="1"/>
    <col min="18" max="18" width="14.28515625" customWidth="1"/>
    <col min="19" max="19" width="15.28515625" customWidth="1"/>
    <col min="20" max="20" width="14.28515625" customWidth="1"/>
    <col min="21" max="25" width="15.42578125" customWidth="1"/>
    <col min="26" max="26" width="14.28515625" customWidth="1"/>
    <col min="27" max="27" width="15" customWidth="1"/>
    <col min="28" max="28" width="14.28515625" customWidth="1"/>
    <col min="29" max="31" width="15.42578125" customWidth="1"/>
    <col min="32" max="32" width="14.28515625" customWidth="1"/>
    <col min="33" max="33" width="14.7109375" customWidth="1"/>
    <col min="34" max="34" width="14.28515625" customWidth="1"/>
    <col min="35" max="35" width="14.7109375" customWidth="1"/>
    <col min="36" max="36" width="14.28515625" customWidth="1"/>
    <col min="37" max="47" width="15.42578125" customWidth="1"/>
    <col min="48" max="48" width="14.28515625" customWidth="1"/>
    <col min="49" max="49" width="15.42578125" customWidth="1"/>
    <col min="50" max="50" width="14.28515625" customWidth="1"/>
    <col min="51" max="55" width="15.42578125" customWidth="1"/>
  </cols>
  <sheetData>
    <row r="1" spans="1:51" ht="13.5" thickBot="1" x14ac:dyDescent="0.25">
      <c r="A1" s="16" t="s">
        <v>14</v>
      </c>
    </row>
    <row r="2" spans="1:51" ht="13.5" thickBot="1" x14ac:dyDescent="0.25">
      <c r="A2" s="49">
        <v>1</v>
      </c>
    </row>
    <row r="3" spans="1:51" ht="13.5" thickBot="1" x14ac:dyDescent="0.25">
      <c r="A3" s="16" t="s">
        <v>50</v>
      </c>
      <c r="B3" s="1"/>
      <c r="C3" s="1"/>
      <c r="E3" s="1"/>
      <c r="G3" s="1"/>
      <c r="H3" s="1"/>
      <c r="I3" s="1"/>
      <c r="J3" s="1"/>
      <c r="K3" s="1"/>
      <c r="L3" s="1"/>
      <c r="M3" s="1"/>
      <c r="Q3" s="1"/>
      <c r="S3" s="1"/>
      <c r="U3" s="1"/>
      <c r="V3" s="1"/>
      <c r="W3" s="1"/>
      <c r="X3" s="1"/>
      <c r="Y3" s="1"/>
      <c r="AA3" s="1"/>
      <c r="AC3" s="1"/>
      <c r="AF3" s="1"/>
      <c r="AH3" s="1"/>
      <c r="AJ3" s="1"/>
      <c r="AV3" s="1"/>
      <c r="AX3" s="1"/>
    </row>
    <row r="4" spans="1:51" ht="13.5" thickBot="1" x14ac:dyDescent="0.25">
      <c r="A4" s="51">
        <v>0</v>
      </c>
      <c r="B4" s="1"/>
      <c r="C4" s="1"/>
      <c r="E4" s="1"/>
      <c r="G4" s="1"/>
      <c r="H4" s="1"/>
      <c r="I4" s="1"/>
      <c r="J4" s="1"/>
      <c r="K4" s="1"/>
      <c r="L4" s="1"/>
      <c r="M4" s="1"/>
      <c r="Q4" s="1"/>
      <c r="S4" s="1"/>
      <c r="U4" s="1"/>
      <c r="V4" s="1"/>
      <c r="W4" s="1"/>
      <c r="X4" s="1"/>
      <c r="Y4" s="1"/>
      <c r="AA4" s="1"/>
      <c r="AC4" s="1"/>
      <c r="AF4" s="1"/>
      <c r="AH4" s="1"/>
      <c r="AJ4" s="11"/>
      <c r="AK4" s="13"/>
      <c r="AL4" s="13"/>
      <c r="AM4" s="13"/>
      <c r="AN4" s="12"/>
      <c r="AO4" s="14"/>
      <c r="AP4" s="14"/>
      <c r="AQ4" s="14"/>
      <c r="AR4" s="14"/>
      <c r="AS4" s="14"/>
      <c r="AT4" s="14"/>
      <c r="AU4" s="14"/>
      <c r="AV4" s="11"/>
      <c r="AW4" s="13"/>
      <c r="AX4" s="11"/>
      <c r="AY4" s="13"/>
    </row>
    <row r="5" spans="1:51" hidden="1" x14ac:dyDescent="0.2">
      <c r="A5" s="61" t="s">
        <v>28</v>
      </c>
      <c r="B5" s="15">
        <f>A4*1.075</f>
        <v>0</v>
      </c>
      <c r="E5" s="1"/>
      <c r="G5" s="1"/>
      <c r="H5" s="1"/>
      <c r="I5" s="1"/>
      <c r="J5" s="1"/>
      <c r="K5" s="1"/>
      <c r="L5" s="1"/>
      <c r="M5" s="1"/>
      <c r="Q5" s="1"/>
      <c r="S5" s="1"/>
      <c r="U5" s="1"/>
      <c r="V5" s="1"/>
      <c r="W5" s="1"/>
      <c r="X5" s="1"/>
      <c r="Y5" s="1"/>
      <c r="AA5" s="1"/>
      <c r="AC5" s="1"/>
      <c r="AF5" s="1"/>
      <c r="AH5" s="1"/>
      <c r="AJ5" s="1"/>
      <c r="AV5" s="1"/>
      <c r="AX5" s="1"/>
    </row>
    <row r="6" spans="1:51" hidden="1" x14ac:dyDescent="0.2">
      <c r="A6" s="61" t="s">
        <v>27</v>
      </c>
      <c r="B6" s="2">
        <v>100</v>
      </c>
      <c r="C6" s="1"/>
      <c r="E6" s="1"/>
      <c r="G6" s="1"/>
      <c r="H6" s="1"/>
      <c r="I6" s="1"/>
      <c r="J6" s="1"/>
      <c r="K6" s="1"/>
      <c r="L6" s="1"/>
      <c r="M6" s="1"/>
      <c r="Q6" s="1"/>
      <c r="S6" s="1"/>
      <c r="U6" s="1"/>
      <c r="V6" s="1"/>
      <c r="W6" s="1"/>
      <c r="X6" s="1"/>
      <c r="Y6" s="1"/>
      <c r="AA6" s="1"/>
      <c r="AC6" s="1"/>
      <c r="AF6" s="1"/>
      <c r="AH6" s="1"/>
      <c r="AJ6" s="1"/>
      <c r="AV6" s="1"/>
      <c r="AX6" s="1"/>
    </row>
    <row r="7" spans="1:51" hidden="1" x14ac:dyDescent="0.2">
      <c r="A7" s="61" t="s">
        <v>26</v>
      </c>
      <c r="B7" s="2">
        <v>25</v>
      </c>
      <c r="C7" s="1"/>
      <c r="E7" s="1"/>
      <c r="G7" s="1"/>
      <c r="H7" s="1"/>
      <c r="I7" s="1"/>
      <c r="J7" s="1"/>
      <c r="K7" s="1"/>
      <c r="L7" s="1"/>
      <c r="M7" s="1"/>
      <c r="Q7" s="1"/>
      <c r="S7" s="1"/>
      <c r="U7" s="1"/>
      <c r="V7" s="1"/>
      <c r="W7" s="1"/>
      <c r="X7" s="1"/>
      <c r="Y7" s="1"/>
      <c r="AA7" s="1"/>
      <c r="AC7" s="1"/>
      <c r="AF7" s="1"/>
      <c r="AH7" s="1"/>
      <c r="AJ7" s="1"/>
      <c r="AV7" s="1"/>
      <c r="AX7" s="1"/>
    </row>
    <row r="8" spans="1:51" hidden="1" x14ac:dyDescent="0.2">
      <c r="A8" s="61" t="s">
        <v>25</v>
      </c>
      <c r="B8" s="2">
        <v>100</v>
      </c>
      <c r="C8" s="1"/>
      <c r="E8" s="1"/>
      <c r="G8" s="1"/>
      <c r="H8" s="1"/>
      <c r="I8" s="1"/>
      <c r="J8" s="1"/>
      <c r="K8" s="1"/>
      <c r="L8" s="1"/>
      <c r="M8" s="1"/>
      <c r="Q8" s="1"/>
      <c r="S8" s="1"/>
      <c r="U8" s="1"/>
      <c r="V8" s="1"/>
      <c r="W8" s="1"/>
      <c r="X8" s="1"/>
      <c r="Y8" s="1"/>
      <c r="AA8" s="1"/>
      <c r="AC8" s="1"/>
      <c r="AF8" s="1"/>
      <c r="AH8" s="1"/>
      <c r="AJ8" s="1"/>
      <c r="AV8" s="1"/>
      <c r="AX8" s="1"/>
    </row>
    <row r="9" spans="1:51" hidden="1" x14ac:dyDescent="0.2">
      <c r="A9" s="61" t="s">
        <v>24</v>
      </c>
      <c r="B9" s="2">
        <v>12</v>
      </c>
      <c r="C9" s="1"/>
      <c r="E9" s="1"/>
      <c r="G9" s="1"/>
      <c r="H9" s="1"/>
      <c r="I9" s="1"/>
      <c r="J9" s="1"/>
      <c r="K9" s="1"/>
      <c r="L9" s="1"/>
      <c r="M9" s="1"/>
      <c r="Q9" s="1"/>
      <c r="S9" s="1"/>
      <c r="U9" s="1"/>
      <c r="V9" s="1"/>
      <c r="W9" s="1"/>
      <c r="X9" s="1"/>
      <c r="Y9" s="1"/>
      <c r="AA9" s="1"/>
      <c r="AC9" s="1"/>
      <c r="AF9" s="1"/>
      <c r="AH9" s="1"/>
      <c r="AJ9" s="1"/>
      <c r="AV9" s="1"/>
      <c r="AX9" s="1"/>
    </row>
    <row r="10" spans="1:51" hidden="1" x14ac:dyDescent="0.2">
      <c r="A10" s="61" t="s">
        <v>92</v>
      </c>
      <c r="B10" s="2">
        <v>150</v>
      </c>
      <c r="C10" s="1">
        <v>100</v>
      </c>
      <c r="E10" s="1"/>
      <c r="G10" s="1"/>
      <c r="H10" s="1"/>
      <c r="I10" s="1"/>
      <c r="J10" s="1"/>
      <c r="K10" s="1"/>
      <c r="L10" s="1"/>
      <c r="M10" s="1"/>
      <c r="Q10" s="1"/>
      <c r="S10" s="1"/>
      <c r="U10" s="1"/>
      <c r="V10" s="1"/>
      <c r="W10" s="1"/>
      <c r="X10" s="1"/>
      <c r="Y10" s="1"/>
      <c r="AA10" s="1"/>
      <c r="AC10" s="1"/>
      <c r="AF10" s="1"/>
      <c r="AH10" s="1"/>
      <c r="AJ10" s="1"/>
      <c r="AV10" s="1"/>
      <c r="AX10" s="1"/>
    </row>
    <row r="11" spans="1:51" hidden="1" x14ac:dyDescent="0.2">
      <c r="A11" s="61" t="s">
        <v>22</v>
      </c>
      <c r="B11" s="2"/>
      <c r="C11" s="1"/>
      <c r="E11" s="1"/>
      <c r="G11" s="1"/>
      <c r="H11" s="1"/>
      <c r="I11" s="1"/>
      <c r="J11" s="1"/>
      <c r="K11" s="1"/>
      <c r="L11" s="1"/>
      <c r="M11" s="1"/>
      <c r="Q11" s="1"/>
      <c r="S11" s="1"/>
      <c r="U11" s="1"/>
      <c r="V11" s="1"/>
      <c r="W11" s="1"/>
      <c r="X11" s="1"/>
      <c r="Y11" s="1"/>
      <c r="AA11" s="1"/>
      <c r="AC11" s="1"/>
      <c r="AF11" s="1"/>
      <c r="AH11" s="1"/>
      <c r="AJ11" s="1"/>
      <c r="AV11" s="1"/>
      <c r="AX11" s="1"/>
    </row>
    <row r="12" spans="1:51" hidden="1" x14ac:dyDescent="0.2">
      <c r="A12" s="61" t="s">
        <v>21</v>
      </c>
      <c r="B12" s="2">
        <v>50</v>
      </c>
      <c r="C12" s="1"/>
      <c r="E12" s="1"/>
      <c r="G12" s="1"/>
      <c r="H12" s="1"/>
      <c r="I12" s="1"/>
      <c r="J12" s="1"/>
      <c r="K12" s="1"/>
      <c r="L12" s="1"/>
      <c r="M12" s="1"/>
      <c r="Q12" s="1"/>
      <c r="S12" s="1"/>
      <c r="U12" s="1"/>
      <c r="V12" s="1"/>
      <c r="W12" s="1"/>
      <c r="X12" s="1"/>
      <c r="Y12" s="1"/>
      <c r="AA12" s="1"/>
      <c r="AC12" s="1"/>
      <c r="AF12" s="1"/>
      <c r="AH12" s="1"/>
      <c r="AJ12" s="1"/>
      <c r="AV12" s="1"/>
      <c r="AX12" s="1"/>
    </row>
    <row r="13" spans="1:51" hidden="1" x14ac:dyDescent="0.2">
      <c r="A13" s="61" t="s">
        <v>17</v>
      </c>
      <c r="B13" s="2">
        <v>41</v>
      </c>
      <c r="C13" s="1"/>
      <c r="E13" s="1"/>
      <c r="G13" s="1"/>
      <c r="H13" s="1"/>
      <c r="I13" s="1"/>
      <c r="J13" s="1"/>
      <c r="K13" s="1"/>
      <c r="L13" s="1"/>
      <c r="M13" s="1"/>
      <c r="Q13" s="1"/>
      <c r="S13" s="1"/>
      <c r="U13" s="1"/>
      <c r="V13" s="1"/>
      <c r="W13" s="1"/>
      <c r="X13" s="1"/>
      <c r="Y13" s="1"/>
      <c r="AA13" s="1"/>
      <c r="AC13" s="1"/>
      <c r="AF13" s="1"/>
      <c r="AH13" s="1"/>
      <c r="AJ13" s="1"/>
      <c r="AV13" s="1"/>
      <c r="AX13" s="1"/>
    </row>
    <row r="14" spans="1:51" hidden="1" x14ac:dyDescent="0.2">
      <c r="A14" s="61" t="s">
        <v>53</v>
      </c>
      <c r="B14" s="2"/>
      <c r="C14" s="1"/>
      <c r="D14" s="15"/>
      <c r="E14" s="1"/>
      <c r="G14" s="1"/>
      <c r="H14" s="1"/>
      <c r="I14" s="1"/>
      <c r="J14" s="1"/>
      <c r="K14" s="1"/>
      <c r="L14" s="1"/>
      <c r="M14" s="1"/>
      <c r="Q14" s="1"/>
      <c r="S14" s="1"/>
      <c r="U14" s="1"/>
      <c r="V14" s="1"/>
      <c r="W14" s="1"/>
      <c r="X14" s="1"/>
      <c r="Y14" s="1"/>
      <c r="AA14" s="1"/>
      <c r="AC14" s="1"/>
      <c r="AF14" s="1"/>
      <c r="AH14" s="1"/>
      <c r="AJ14" s="1"/>
      <c r="AV14" s="1"/>
      <c r="AX14" s="1"/>
    </row>
    <row r="15" spans="1:51" hidden="1" x14ac:dyDescent="0.2">
      <c r="A15" s="61" t="s">
        <v>61</v>
      </c>
      <c r="B15" s="2">
        <v>5</v>
      </c>
      <c r="C15" s="1"/>
      <c r="E15" s="1"/>
      <c r="G15" s="1"/>
      <c r="H15" s="1"/>
      <c r="I15" s="1"/>
      <c r="J15" s="1"/>
      <c r="K15" s="1"/>
      <c r="L15" s="1"/>
      <c r="M15" s="1"/>
      <c r="Q15" s="1"/>
      <c r="S15" s="1"/>
      <c r="U15" s="1"/>
      <c r="V15" s="1"/>
      <c r="W15" s="1"/>
      <c r="X15" s="1"/>
      <c r="Y15" s="1"/>
      <c r="AA15" s="1"/>
      <c r="AC15" s="1"/>
      <c r="AF15" s="1"/>
      <c r="AH15" s="1"/>
      <c r="AJ15" s="1"/>
      <c r="AV15" s="1"/>
      <c r="AX15" s="1"/>
    </row>
    <row r="16" spans="1:51" hidden="1" x14ac:dyDescent="0.2">
      <c r="A16" s="61" t="s">
        <v>62</v>
      </c>
      <c r="B16" s="2">
        <v>25</v>
      </c>
      <c r="C16" s="1"/>
      <c r="E16" s="1"/>
      <c r="G16" s="1"/>
      <c r="H16" s="1"/>
      <c r="I16" s="1"/>
      <c r="J16" s="1"/>
      <c r="K16" s="1"/>
      <c r="L16" s="1"/>
      <c r="M16" s="1"/>
      <c r="Q16" s="1"/>
      <c r="S16" s="1"/>
      <c r="U16" s="1"/>
      <c r="V16" s="1"/>
      <c r="W16" s="1"/>
      <c r="X16" s="1"/>
      <c r="Y16" s="1"/>
      <c r="AA16" s="1"/>
      <c r="AC16" s="1"/>
      <c r="AF16" s="1"/>
      <c r="AH16" s="1"/>
      <c r="AJ16" s="1"/>
      <c r="AV16" s="1"/>
      <c r="AX16" s="1"/>
    </row>
    <row r="17" spans="1:55" hidden="1" x14ac:dyDescent="0.2">
      <c r="A17" s="61" t="s">
        <v>85</v>
      </c>
      <c r="B17" s="2">
        <v>350</v>
      </c>
      <c r="C17" s="1"/>
      <c r="E17" s="1"/>
      <c r="G17" s="1"/>
      <c r="H17" s="1"/>
      <c r="I17" s="1"/>
      <c r="J17" s="1"/>
      <c r="K17" s="1"/>
      <c r="L17" s="1"/>
      <c r="M17" s="1"/>
      <c r="Q17" s="1"/>
      <c r="S17" s="1"/>
      <c r="U17" s="1"/>
      <c r="V17" s="1"/>
      <c r="W17" s="1"/>
      <c r="X17" s="1"/>
      <c r="Y17" s="1"/>
      <c r="AA17" s="1"/>
      <c r="AC17" s="1"/>
      <c r="AF17" s="1"/>
      <c r="AH17" s="1"/>
      <c r="AJ17" s="1"/>
      <c r="AV17" s="1"/>
      <c r="AX17" s="1"/>
    </row>
    <row r="18" spans="1:55" ht="14.45" hidden="1" customHeight="1" thickBot="1" x14ac:dyDescent="0.25">
      <c r="A18" s="61"/>
      <c r="B18" s="1"/>
      <c r="C18" s="1"/>
      <c r="E18" s="1"/>
      <c r="G18" s="1"/>
      <c r="H18" s="1"/>
      <c r="I18" s="1"/>
      <c r="J18" s="1"/>
      <c r="K18" s="1"/>
      <c r="L18" s="1"/>
      <c r="M18" s="1"/>
      <c r="Q18" s="1"/>
      <c r="S18" s="1"/>
      <c r="U18" s="1"/>
      <c r="V18" s="1"/>
      <c r="W18" s="1"/>
      <c r="X18" s="1"/>
      <c r="Y18" s="1"/>
      <c r="AA18" s="1"/>
      <c r="AC18" s="1"/>
      <c r="AF18" s="1"/>
      <c r="AH18" s="1"/>
      <c r="AJ18" s="11"/>
      <c r="AK18" s="148"/>
      <c r="AL18" s="149"/>
      <c r="AM18" s="148"/>
      <c r="AN18" s="149"/>
      <c r="AO18" s="148"/>
      <c r="AP18" s="150"/>
      <c r="AQ18" s="148"/>
      <c r="AR18" s="150"/>
      <c r="AS18" s="148"/>
      <c r="AT18" s="150"/>
      <c r="AU18" s="148"/>
      <c r="AV18" s="150"/>
      <c r="AW18" s="148"/>
      <c r="AX18" s="150"/>
      <c r="AY18" s="148"/>
    </row>
    <row r="19" spans="1:55" ht="14.45" customHeight="1" thickTop="1" thickBot="1" x14ac:dyDescent="0.25">
      <c r="A19" s="61"/>
      <c r="B19" s="61"/>
      <c r="C19" s="61"/>
      <c r="D19" s="310"/>
      <c r="E19" s="61"/>
      <c r="F19" s="310"/>
      <c r="G19" s="61"/>
      <c r="H19" s="577" t="s">
        <v>86</v>
      </c>
      <c r="I19" s="578"/>
      <c r="J19" s="577" t="s">
        <v>87</v>
      </c>
      <c r="K19" s="578"/>
      <c r="L19" s="61"/>
      <c r="M19" s="61"/>
      <c r="N19" s="310"/>
      <c r="O19" s="310"/>
      <c r="P19" s="310"/>
      <c r="Q19" s="61"/>
      <c r="R19" s="310"/>
      <c r="S19" s="61"/>
      <c r="T19" s="310"/>
      <c r="U19" s="61"/>
      <c r="V19" s="61"/>
      <c r="W19" s="61"/>
      <c r="X19" s="61"/>
      <c r="Y19" s="61"/>
      <c r="Z19" s="310"/>
      <c r="AA19" s="61"/>
      <c r="AB19" s="310"/>
      <c r="AC19" s="61"/>
      <c r="AD19" s="310"/>
      <c r="AE19" s="310"/>
      <c r="AF19" s="61"/>
      <c r="AG19" s="310"/>
      <c r="AH19" s="61"/>
      <c r="AI19" s="310"/>
      <c r="AJ19" s="588" t="s">
        <v>39</v>
      </c>
      <c r="AK19" s="589"/>
      <c r="AL19" s="585" t="s">
        <v>75</v>
      </c>
      <c r="AM19" s="586"/>
      <c r="AN19" s="586"/>
      <c r="AO19" s="587"/>
      <c r="AP19" s="601" t="s">
        <v>84</v>
      </c>
      <c r="AQ19" s="601"/>
      <c r="AR19" s="601"/>
      <c r="AS19" s="601"/>
      <c r="AT19" s="601"/>
      <c r="AU19" s="601"/>
      <c r="AV19" s="601"/>
      <c r="AW19" s="602"/>
      <c r="AX19" s="603"/>
      <c r="AY19" s="603"/>
      <c r="AZ19" s="310"/>
      <c r="BA19" s="310"/>
      <c r="BB19" s="310"/>
      <c r="BC19" s="310"/>
    </row>
    <row r="20" spans="1:55" ht="42" customHeight="1" thickTop="1" thickBot="1" x14ac:dyDescent="0.25">
      <c r="A20" s="396" t="s">
        <v>52</v>
      </c>
      <c r="B20" s="579" t="s">
        <v>5</v>
      </c>
      <c r="C20" s="579"/>
      <c r="D20" s="580" t="s">
        <v>6</v>
      </c>
      <c r="E20" s="580"/>
      <c r="F20" s="581" t="s">
        <v>16</v>
      </c>
      <c r="G20" s="582"/>
      <c r="H20" s="584" t="s">
        <v>51</v>
      </c>
      <c r="I20" s="584"/>
      <c r="J20" s="583" t="s">
        <v>51</v>
      </c>
      <c r="K20" s="583"/>
      <c r="L20" s="575" t="s">
        <v>77</v>
      </c>
      <c r="M20" s="576"/>
      <c r="N20" s="582" t="s">
        <v>11</v>
      </c>
      <c r="O20" s="572"/>
      <c r="P20" s="573" t="s">
        <v>7</v>
      </c>
      <c r="Q20" s="574"/>
      <c r="R20" s="571" t="s">
        <v>102</v>
      </c>
      <c r="S20" s="572"/>
      <c r="T20" s="573" t="s">
        <v>8</v>
      </c>
      <c r="U20" s="574"/>
      <c r="V20" s="569" t="s">
        <v>33</v>
      </c>
      <c r="W20" s="570"/>
      <c r="X20" s="592" t="s">
        <v>64</v>
      </c>
      <c r="Y20" s="576"/>
      <c r="Z20" s="582" t="s">
        <v>9</v>
      </c>
      <c r="AA20" s="572"/>
      <c r="AB20" s="573" t="s">
        <v>65</v>
      </c>
      <c r="AC20" s="574"/>
      <c r="AD20" s="569" t="s">
        <v>57</v>
      </c>
      <c r="AE20" s="570"/>
      <c r="AF20" s="590" t="s">
        <v>41</v>
      </c>
      <c r="AG20" s="591"/>
      <c r="AH20" s="569" t="s">
        <v>10</v>
      </c>
      <c r="AI20" s="570"/>
      <c r="AJ20" s="593" t="s">
        <v>82</v>
      </c>
      <c r="AK20" s="594"/>
      <c r="AL20" s="598" t="s">
        <v>83</v>
      </c>
      <c r="AM20" s="599"/>
      <c r="AN20" s="595" t="s">
        <v>99</v>
      </c>
      <c r="AO20" s="596"/>
      <c r="AP20" s="600" t="s">
        <v>83</v>
      </c>
      <c r="AQ20" s="570"/>
      <c r="AR20" s="604" t="s">
        <v>100</v>
      </c>
      <c r="AS20" s="594"/>
      <c r="AT20" s="605" t="s">
        <v>99</v>
      </c>
      <c r="AU20" s="570"/>
      <c r="AV20" s="593" t="s">
        <v>101</v>
      </c>
      <c r="AW20" s="597"/>
      <c r="AX20" s="569" t="s">
        <v>49</v>
      </c>
      <c r="AY20" s="570"/>
      <c r="AZ20" s="593" t="s">
        <v>95</v>
      </c>
      <c r="BA20" s="597"/>
      <c r="BB20" s="569" t="s">
        <v>98</v>
      </c>
      <c r="BC20" s="570"/>
    </row>
    <row r="21" spans="1:55" ht="27" thickTop="1" thickBot="1" x14ac:dyDescent="0.25">
      <c r="A21" s="397" t="s">
        <v>137</v>
      </c>
      <c r="B21" s="322" t="s">
        <v>37</v>
      </c>
      <c r="C21" s="311" t="s">
        <v>38</v>
      </c>
      <c r="D21" s="312" t="s">
        <v>37</v>
      </c>
      <c r="E21" s="312" t="s">
        <v>38</v>
      </c>
      <c r="F21" s="311" t="s">
        <v>37</v>
      </c>
      <c r="G21" s="313" t="s">
        <v>38</v>
      </c>
      <c r="H21" s="314" t="s">
        <v>37</v>
      </c>
      <c r="I21" s="312" t="s">
        <v>38</v>
      </c>
      <c r="J21" s="311" t="s">
        <v>37</v>
      </c>
      <c r="K21" s="315" t="s">
        <v>38</v>
      </c>
      <c r="L21" s="316" t="s">
        <v>37</v>
      </c>
      <c r="M21" s="317" t="s">
        <v>38</v>
      </c>
      <c r="N21" s="311" t="s">
        <v>37</v>
      </c>
      <c r="O21" s="311" t="s">
        <v>38</v>
      </c>
      <c r="P21" s="317" t="s">
        <v>37</v>
      </c>
      <c r="Q21" s="317" t="s">
        <v>38</v>
      </c>
      <c r="R21" s="311" t="s">
        <v>37</v>
      </c>
      <c r="S21" s="311" t="s">
        <v>38</v>
      </c>
      <c r="T21" s="317" t="s">
        <v>37</v>
      </c>
      <c r="U21" s="317" t="s">
        <v>38</v>
      </c>
      <c r="V21" s="311" t="s">
        <v>37</v>
      </c>
      <c r="W21" s="311" t="s">
        <v>38</v>
      </c>
      <c r="X21" s="317" t="s">
        <v>37</v>
      </c>
      <c r="Y21" s="317" t="s">
        <v>38</v>
      </c>
      <c r="Z21" s="311" t="s">
        <v>37</v>
      </c>
      <c r="AA21" s="311" t="s">
        <v>38</v>
      </c>
      <c r="AB21" s="317" t="s">
        <v>37</v>
      </c>
      <c r="AC21" s="317" t="s">
        <v>38</v>
      </c>
      <c r="AD21" s="311" t="s">
        <v>37</v>
      </c>
      <c r="AE21" s="311" t="s">
        <v>38</v>
      </c>
      <c r="AF21" s="312" t="s">
        <v>37</v>
      </c>
      <c r="AG21" s="312" t="s">
        <v>38</v>
      </c>
      <c r="AH21" s="311" t="s">
        <v>37</v>
      </c>
      <c r="AI21" s="311" t="s">
        <v>38</v>
      </c>
      <c r="AJ21" s="318" t="s">
        <v>37</v>
      </c>
      <c r="AK21" s="319" t="s">
        <v>38</v>
      </c>
      <c r="AL21" s="320" t="s">
        <v>37</v>
      </c>
      <c r="AM21" s="311" t="s">
        <v>38</v>
      </c>
      <c r="AN21" s="317" t="s">
        <v>37</v>
      </c>
      <c r="AO21" s="321" t="s">
        <v>38</v>
      </c>
      <c r="AP21" s="322" t="s">
        <v>37</v>
      </c>
      <c r="AQ21" s="311" t="s">
        <v>38</v>
      </c>
      <c r="AR21" s="323" t="s">
        <v>37</v>
      </c>
      <c r="AS21" s="319" t="s">
        <v>38</v>
      </c>
      <c r="AT21" s="324" t="s">
        <v>37</v>
      </c>
      <c r="AU21" s="325" t="s">
        <v>38</v>
      </c>
      <c r="AV21" s="326" t="s">
        <v>37</v>
      </c>
      <c r="AW21" s="327" t="s">
        <v>38</v>
      </c>
      <c r="AX21" s="322" t="s">
        <v>37</v>
      </c>
      <c r="AY21" s="325" t="s">
        <v>38</v>
      </c>
      <c r="AZ21" s="328" t="s">
        <v>37</v>
      </c>
      <c r="BA21" s="327" t="s">
        <v>38</v>
      </c>
      <c r="BB21" s="322" t="s">
        <v>37</v>
      </c>
      <c r="BC21" s="325" t="s">
        <v>38</v>
      </c>
    </row>
    <row r="22" spans="1:55" ht="13.5" thickTop="1" x14ac:dyDescent="0.2">
      <c r="A22" s="329"/>
      <c r="B22" s="163"/>
      <c r="C22" s="163"/>
      <c r="D22" s="38"/>
      <c r="E22" s="38"/>
      <c r="F22" s="163"/>
      <c r="G22" s="174"/>
      <c r="H22" s="209"/>
      <c r="I22" s="38"/>
      <c r="J22" s="163"/>
      <c r="K22" s="180"/>
      <c r="L22" s="82"/>
      <c r="M22" s="65"/>
      <c r="N22" s="163"/>
      <c r="O22" s="163"/>
      <c r="P22" s="65"/>
      <c r="Q22" s="65"/>
      <c r="R22" s="163"/>
      <c r="S22" s="163"/>
      <c r="T22" s="65"/>
      <c r="U22" s="65"/>
      <c r="V22" s="163"/>
      <c r="W22" s="163"/>
      <c r="X22" s="65"/>
      <c r="Y22" s="65"/>
      <c r="Z22" s="163"/>
      <c r="AA22" s="163"/>
      <c r="AB22" s="65"/>
      <c r="AC22" s="65"/>
      <c r="AD22" s="163"/>
      <c r="AE22" s="163"/>
      <c r="AF22" s="38"/>
      <c r="AG22" s="38"/>
      <c r="AH22" s="163"/>
      <c r="AI22" s="163"/>
      <c r="AJ22" s="210"/>
      <c r="AK22" s="57"/>
      <c r="AL22" s="211"/>
      <c r="AM22" s="212"/>
      <c r="AN22" s="65"/>
      <c r="AO22" s="213"/>
      <c r="AP22" s="214"/>
      <c r="AQ22" s="163"/>
      <c r="AR22" s="215"/>
      <c r="AS22" s="57"/>
      <c r="AT22" s="211"/>
      <c r="AU22" s="216"/>
      <c r="AV22" s="217"/>
      <c r="AW22" s="218"/>
      <c r="AX22" s="214"/>
      <c r="AY22" s="200"/>
      <c r="AZ22" s="219"/>
      <c r="BA22" s="58"/>
      <c r="BB22" s="214"/>
      <c r="BC22" s="200"/>
    </row>
    <row r="23" spans="1:55" x14ac:dyDescent="0.2">
      <c r="A23" s="330" t="s">
        <v>40</v>
      </c>
      <c r="B23" s="158">
        <f>A4+B5+B7+B15+IF(A4=0,-30,0)</f>
        <v>0</v>
      </c>
      <c r="C23" s="158">
        <f>B23*1.03</f>
        <v>0</v>
      </c>
      <c r="D23" s="8">
        <f>A4+B5+B6+B7+B15</f>
        <v>130</v>
      </c>
      <c r="E23" s="8">
        <f>D23*1.03</f>
        <v>133.9</v>
      </c>
      <c r="F23" s="158"/>
      <c r="G23" s="172">
        <f>F23*1.03</f>
        <v>0</v>
      </c>
      <c r="H23" s="130">
        <f>A4+B5+B6+B7+C10+B15</f>
        <v>230</v>
      </c>
      <c r="I23" s="8">
        <f>H23*1.03</f>
        <v>236.9</v>
      </c>
      <c r="J23" s="158">
        <f>A4+B5+B6+B7+B10+B15</f>
        <v>280</v>
      </c>
      <c r="K23" s="176">
        <f>J23*1.03</f>
        <v>288.40000000000003</v>
      </c>
      <c r="L23" s="75">
        <f>B17</f>
        <v>350</v>
      </c>
      <c r="M23" s="64">
        <f>L23*1.03</f>
        <v>360.5</v>
      </c>
      <c r="N23" s="158">
        <f>A4</f>
        <v>0</v>
      </c>
      <c r="O23" s="158">
        <f>(A4*1.04)</f>
        <v>0</v>
      </c>
      <c r="P23" s="64">
        <f>A4+B5+B6+B7+B15</f>
        <v>130</v>
      </c>
      <c r="Q23" s="64">
        <f>P23*1.03</f>
        <v>133.9</v>
      </c>
      <c r="R23" s="158">
        <f>A4+B5+B6+B7+B15</f>
        <v>130</v>
      </c>
      <c r="S23" s="158">
        <f>R23*1.03</f>
        <v>133.9</v>
      </c>
      <c r="T23" s="64">
        <f>A4+B5+B6+B7+B15</f>
        <v>130</v>
      </c>
      <c r="U23" s="64">
        <f>T23*1.03</f>
        <v>133.9</v>
      </c>
      <c r="V23" s="158">
        <f>A4+B5+B6+B7+B12+B15</f>
        <v>180</v>
      </c>
      <c r="W23" s="158">
        <f>V23*1.03</f>
        <v>185.4</v>
      </c>
      <c r="X23" s="64">
        <f>A4+B5+B6+B7+B15</f>
        <v>130</v>
      </c>
      <c r="Y23" s="64">
        <f>X23*1.03</f>
        <v>133.9</v>
      </c>
      <c r="Z23" s="158">
        <f>A4+B5+B6+B7+B15</f>
        <v>130</v>
      </c>
      <c r="AA23" s="158">
        <f>Z23*1.03</f>
        <v>133.9</v>
      </c>
      <c r="AB23" s="64">
        <f>A4+B5+B6+B7+B15</f>
        <v>130</v>
      </c>
      <c r="AC23" s="64">
        <f>AB23*1.03</f>
        <v>133.9</v>
      </c>
      <c r="AD23" s="158">
        <f>A4</f>
        <v>0</v>
      </c>
      <c r="AE23" s="158">
        <f>AD23*1.03</f>
        <v>0</v>
      </c>
      <c r="AF23" s="220">
        <f>B13</f>
        <v>41</v>
      </c>
      <c r="AG23" s="8">
        <f>AF23*1.03</f>
        <v>42.230000000000004</v>
      </c>
      <c r="AH23" s="158">
        <f>A4+B5+B6+B7+B13+B15</f>
        <v>171</v>
      </c>
      <c r="AI23" s="158">
        <f>AH23*1.03</f>
        <v>176.13</v>
      </c>
      <c r="AJ23" s="10">
        <f>A4+B5+B6+B7+B8+B9+(AK18*B15)</f>
        <v>237</v>
      </c>
      <c r="AK23" s="55">
        <f>AJ23*1.03</f>
        <v>244.11</v>
      </c>
      <c r="AL23" s="190">
        <f>A4+B5+B6+B7+B8+B9+B15+(AM18*B14)</f>
        <v>242</v>
      </c>
      <c r="AM23" s="158">
        <f>AL23*1.03</f>
        <v>249.26000000000002</v>
      </c>
      <c r="AN23" s="64">
        <f>A4+B5+B6+B7+B8+B9+B15+(AO18*B14)</f>
        <v>242</v>
      </c>
      <c r="AO23" s="119">
        <f>AN23*1.03</f>
        <v>249.26000000000002</v>
      </c>
      <c r="AP23" s="207">
        <f>A4+B5+B6+B7+B8+B9+B15+B16+(AQ18*B14)</f>
        <v>267</v>
      </c>
      <c r="AQ23" s="158">
        <f>AP23*1.03</f>
        <v>275.01</v>
      </c>
      <c r="AR23" s="146">
        <f>A4+B5+B6+B7+B8+B9+B15+(AS18*B14)</f>
        <v>242</v>
      </c>
      <c r="AS23" s="55">
        <f>AR23*1.03</f>
        <v>249.26000000000002</v>
      </c>
      <c r="AT23" s="190">
        <f>A4+B5+B6+B7+B8+B9+B15+B16+(AU18*B14)</f>
        <v>267</v>
      </c>
      <c r="AU23" s="196">
        <f>AT23*1.03</f>
        <v>275.01</v>
      </c>
      <c r="AV23" s="221">
        <f>A4+B5+B6+B7+B8+B9+B15+(AW18*B14)</f>
        <v>242</v>
      </c>
      <c r="AW23" s="28">
        <f>AV23*1.03</f>
        <v>249.26000000000002</v>
      </c>
      <c r="AX23" s="205">
        <f>A4+B5+B6+B7+B8+B9+B15+B16+(AY18*B14)</f>
        <v>267</v>
      </c>
      <c r="AY23" s="196">
        <f>AX23*1.03</f>
        <v>275.01</v>
      </c>
      <c r="AZ23" s="59">
        <f>A4+B5+B6+B7+B15</f>
        <v>130</v>
      </c>
      <c r="BA23" s="28">
        <f>AZ23*1.03</f>
        <v>133.9</v>
      </c>
      <c r="BB23" s="193">
        <f>A4+B5+B6+B7+B15</f>
        <v>130</v>
      </c>
      <c r="BC23" s="196">
        <f>BB23*1.03</f>
        <v>133.9</v>
      </c>
    </row>
    <row r="24" spans="1:55" x14ac:dyDescent="0.2">
      <c r="A24" s="330"/>
      <c r="B24" s="158"/>
      <c r="C24" s="158"/>
      <c r="D24" s="8"/>
      <c r="E24" s="8"/>
      <c r="F24" s="158"/>
      <c r="G24" s="172"/>
      <c r="H24" s="130"/>
      <c r="I24" s="8"/>
      <c r="J24" s="158"/>
      <c r="K24" s="176"/>
      <c r="L24" s="75"/>
      <c r="M24" s="64"/>
      <c r="N24" s="158"/>
      <c r="O24" s="158"/>
      <c r="P24" s="64"/>
      <c r="Q24" s="64"/>
      <c r="R24" s="158"/>
      <c r="S24" s="158"/>
      <c r="T24" s="64"/>
      <c r="U24" s="64"/>
      <c r="V24" s="158"/>
      <c r="W24" s="158"/>
      <c r="X24" s="64"/>
      <c r="Y24" s="64"/>
      <c r="Z24" s="158"/>
      <c r="AA24" s="158"/>
      <c r="AB24" s="64"/>
      <c r="AC24" s="64"/>
      <c r="AD24" s="158"/>
      <c r="AE24" s="158"/>
      <c r="AF24" s="8"/>
      <c r="AG24" s="8"/>
      <c r="AH24" s="158"/>
      <c r="AI24" s="158"/>
      <c r="AJ24" s="10"/>
      <c r="AK24" s="55"/>
      <c r="AL24" s="190"/>
      <c r="AM24" s="158"/>
      <c r="AN24" s="64"/>
      <c r="AO24" s="119"/>
      <c r="AP24" s="207"/>
      <c r="AQ24" s="158"/>
      <c r="AR24" s="146"/>
      <c r="AS24" s="55"/>
      <c r="AT24" s="190"/>
      <c r="AU24" s="196"/>
      <c r="AV24" s="221"/>
      <c r="AW24" s="28"/>
      <c r="AX24" s="205"/>
      <c r="AY24" s="196"/>
      <c r="AZ24" s="222"/>
      <c r="BA24" s="28"/>
      <c r="BB24" s="205"/>
      <c r="BC24" s="196"/>
    </row>
    <row r="25" spans="1:55" x14ac:dyDescent="0.2">
      <c r="A25" s="26" t="s">
        <v>74</v>
      </c>
      <c r="B25" s="158"/>
      <c r="C25" s="165">
        <f>C23/A2</f>
        <v>0</v>
      </c>
      <c r="D25" s="8"/>
      <c r="E25" s="17">
        <f>E23/A2</f>
        <v>133.9</v>
      </c>
      <c r="F25" s="158"/>
      <c r="G25" s="169">
        <f>M23/A2</f>
        <v>360.5</v>
      </c>
      <c r="H25" s="130"/>
      <c r="I25" s="17">
        <f>I23/A2</f>
        <v>236.9</v>
      </c>
      <c r="J25" s="158"/>
      <c r="K25" s="183">
        <f>K23/A2</f>
        <v>288.40000000000003</v>
      </c>
      <c r="L25" s="75"/>
      <c r="M25" s="63">
        <f>M23/A2</f>
        <v>360.5</v>
      </c>
      <c r="N25" s="158"/>
      <c r="O25" s="165">
        <f>O23/A2</f>
        <v>0</v>
      </c>
      <c r="P25" s="64"/>
      <c r="Q25" s="63">
        <f>Q23/A2</f>
        <v>133.9</v>
      </c>
      <c r="R25" s="158"/>
      <c r="S25" s="165">
        <f>S23/A2</f>
        <v>133.9</v>
      </c>
      <c r="T25" s="64"/>
      <c r="U25" s="63">
        <f>U23/A2</f>
        <v>133.9</v>
      </c>
      <c r="V25" s="158"/>
      <c r="W25" s="165">
        <f>W23/A2</f>
        <v>185.4</v>
      </c>
      <c r="X25" s="64"/>
      <c r="Y25" s="63">
        <f>Y23/A2</f>
        <v>133.9</v>
      </c>
      <c r="Z25" s="158"/>
      <c r="AA25" s="165">
        <f>AA23/A2</f>
        <v>133.9</v>
      </c>
      <c r="AB25" s="64"/>
      <c r="AC25" s="63">
        <f>AC23/A2</f>
        <v>133.9</v>
      </c>
      <c r="AD25" s="158"/>
      <c r="AE25" s="165">
        <f>AE23/A2</f>
        <v>0</v>
      </c>
      <c r="AF25" s="8"/>
      <c r="AG25" s="17">
        <f>AG23/A2</f>
        <v>42.230000000000004</v>
      </c>
      <c r="AH25" s="158"/>
      <c r="AI25" s="165">
        <f>AI23/A2</f>
        <v>176.13</v>
      </c>
      <c r="AJ25" s="10"/>
      <c r="AK25" s="54">
        <f>AK23/A2</f>
        <v>244.11</v>
      </c>
      <c r="AL25" s="190"/>
      <c r="AM25" s="165">
        <f>AM23/A2</f>
        <v>249.26000000000002</v>
      </c>
      <c r="AN25" s="64"/>
      <c r="AO25" s="115">
        <f>AO23/A2</f>
        <v>249.26000000000002</v>
      </c>
      <c r="AP25" s="207"/>
      <c r="AQ25" s="165">
        <f>AQ23/A2</f>
        <v>275.01</v>
      </c>
      <c r="AR25" s="146"/>
      <c r="AS25" s="54">
        <f>AS23/A2</f>
        <v>249.26000000000002</v>
      </c>
      <c r="AT25" s="190"/>
      <c r="AU25" s="195">
        <f>AU23/A2</f>
        <v>275.01</v>
      </c>
      <c r="AV25" s="221"/>
      <c r="AW25" s="27">
        <f>AW23/A2</f>
        <v>249.26000000000002</v>
      </c>
      <c r="AX25" s="205"/>
      <c r="AY25" s="195">
        <f>AY23/A2</f>
        <v>275.01</v>
      </c>
      <c r="AZ25" s="222"/>
      <c r="BA25" s="27">
        <f>BA23/A2</f>
        <v>133.9</v>
      </c>
      <c r="BB25" s="205"/>
      <c r="BC25" s="195">
        <f>BC23/A2</f>
        <v>133.9</v>
      </c>
    </row>
    <row r="26" spans="1:55" ht="13.5" thickBot="1" x14ac:dyDescent="0.25">
      <c r="A26" s="331"/>
      <c r="B26" s="223"/>
      <c r="C26" s="223"/>
      <c r="D26" s="224"/>
      <c r="E26" s="224"/>
      <c r="F26" s="223"/>
      <c r="G26" s="225"/>
      <c r="H26" s="226"/>
      <c r="I26" s="224"/>
      <c r="J26" s="223"/>
      <c r="K26" s="227"/>
      <c r="L26" s="228"/>
      <c r="M26" s="229"/>
      <c r="N26" s="223"/>
      <c r="O26" s="223"/>
      <c r="P26" s="229"/>
      <c r="Q26" s="229"/>
      <c r="R26" s="223"/>
      <c r="S26" s="223"/>
      <c r="T26" s="229"/>
      <c r="U26" s="229"/>
      <c r="V26" s="223"/>
      <c r="W26" s="223"/>
      <c r="X26" s="229"/>
      <c r="Y26" s="229"/>
      <c r="Z26" s="223"/>
      <c r="AA26" s="223"/>
      <c r="AB26" s="229"/>
      <c r="AC26" s="229"/>
      <c r="AD26" s="223"/>
      <c r="AE26" s="223"/>
      <c r="AF26" s="224"/>
      <c r="AG26" s="224"/>
      <c r="AH26" s="223"/>
      <c r="AI26" s="223"/>
      <c r="AJ26" s="230"/>
      <c r="AK26" s="231"/>
      <c r="AL26" s="232"/>
      <c r="AM26" s="223"/>
      <c r="AN26" s="229"/>
      <c r="AO26" s="233"/>
      <c r="AP26" s="234"/>
      <c r="AQ26" s="223"/>
      <c r="AR26" s="235"/>
      <c r="AS26" s="231"/>
      <c r="AT26" s="232"/>
      <c r="AU26" s="236"/>
      <c r="AV26" s="237"/>
      <c r="AW26" s="238"/>
      <c r="AX26" s="234"/>
      <c r="AY26" s="236"/>
      <c r="AZ26" s="239"/>
      <c r="BA26" s="238"/>
      <c r="BB26" s="234"/>
      <c r="BC26" s="236"/>
    </row>
    <row r="27" spans="1:55" ht="13.5" thickBot="1" x14ac:dyDescent="0.25">
      <c r="A27" s="332" t="s">
        <v>19</v>
      </c>
      <c r="B27" s="240">
        <f t="shared" ref="B27:M27" si="0">SUM(B29:B41)</f>
        <v>0</v>
      </c>
      <c r="C27" s="240">
        <f t="shared" si="0"/>
        <v>0</v>
      </c>
      <c r="D27" s="53">
        <f t="shared" si="0"/>
        <v>125</v>
      </c>
      <c r="E27" s="53">
        <f t="shared" si="0"/>
        <v>128.9</v>
      </c>
      <c r="F27" s="240">
        <f t="shared" si="0"/>
        <v>125</v>
      </c>
      <c r="G27" s="241">
        <f t="shared" si="0"/>
        <v>125</v>
      </c>
      <c r="H27" s="242">
        <f t="shared" si="0"/>
        <v>225</v>
      </c>
      <c r="I27" s="53">
        <f t="shared" si="0"/>
        <v>231.9</v>
      </c>
      <c r="J27" s="240">
        <f t="shared" si="0"/>
        <v>275</v>
      </c>
      <c r="K27" s="243">
        <f t="shared" si="0"/>
        <v>283.40000000000003</v>
      </c>
      <c r="L27" s="81">
        <f t="shared" si="0"/>
        <v>350</v>
      </c>
      <c r="M27" s="78">
        <f t="shared" si="0"/>
        <v>360.5</v>
      </c>
      <c r="N27" s="240"/>
      <c r="O27" s="240"/>
      <c r="P27" s="78">
        <f>SUM(P29:P41)</f>
        <v>125</v>
      </c>
      <c r="Q27" s="78">
        <f>SUM(Q29:Q41)</f>
        <v>128.9</v>
      </c>
      <c r="R27" s="240">
        <f>SUM(R29:R41)</f>
        <v>125</v>
      </c>
      <c r="S27" s="240">
        <f t="shared" ref="S27:Z27" si="1">SUM(S28:S41)</f>
        <v>128.9</v>
      </c>
      <c r="T27" s="78">
        <f t="shared" si="1"/>
        <v>125</v>
      </c>
      <c r="U27" s="78">
        <f t="shared" si="1"/>
        <v>128.9</v>
      </c>
      <c r="V27" s="240">
        <f t="shared" si="1"/>
        <v>175</v>
      </c>
      <c r="W27" s="240">
        <f t="shared" si="1"/>
        <v>180.4</v>
      </c>
      <c r="X27" s="78">
        <f t="shared" si="1"/>
        <v>125</v>
      </c>
      <c r="Y27" s="78">
        <f t="shared" si="1"/>
        <v>128.9</v>
      </c>
      <c r="Z27" s="240">
        <f t="shared" si="1"/>
        <v>125</v>
      </c>
      <c r="AA27" s="240">
        <f>SUM(AA29:AA41)</f>
        <v>128.9</v>
      </c>
      <c r="AB27" s="78">
        <f>SUM(AB28:AB41)</f>
        <v>125</v>
      </c>
      <c r="AC27" s="78">
        <f>SUM(AC28:AC41)</f>
        <v>128.9</v>
      </c>
      <c r="AD27" s="240"/>
      <c r="AE27" s="240"/>
      <c r="AF27" s="53">
        <f>SUM(AF28:AF41)</f>
        <v>41</v>
      </c>
      <c r="AG27" s="53">
        <f>SUM(AG28:AG41)</f>
        <v>42.230000000000004</v>
      </c>
      <c r="AH27" s="240">
        <f>SUM(AH28:AH41)</f>
        <v>166</v>
      </c>
      <c r="AI27" s="240">
        <f>SUM(AI28:AI41)</f>
        <v>171.13</v>
      </c>
      <c r="AJ27" s="244">
        <f>SUM(AJ29:AJ41)</f>
        <v>237</v>
      </c>
      <c r="AK27" s="245">
        <f>SUM(AK29:AK41)</f>
        <v>244.11</v>
      </c>
      <c r="AL27" s="246">
        <f t="shared" ref="AL27:AX27" si="2">SUM(AL28:AL41)</f>
        <v>237</v>
      </c>
      <c r="AM27" s="240">
        <f t="shared" si="2"/>
        <v>244.26000000000002</v>
      </c>
      <c r="AN27" s="78">
        <f t="shared" si="2"/>
        <v>237</v>
      </c>
      <c r="AO27" s="121">
        <f t="shared" si="2"/>
        <v>244.26000000000002</v>
      </c>
      <c r="AP27" s="247">
        <f t="shared" si="2"/>
        <v>262</v>
      </c>
      <c r="AQ27" s="240">
        <f t="shared" si="2"/>
        <v>270.01</v>
      </c>
      <c r="AR27" s="248">
        <f t="shared" si="2"/>
        <v>237</v>
      </c>
      <c r="AS27" s="245">
        <f t="shared" si="2"/>
        <v>244.26000000000002</v>
      </c>
      <c r="AT27" s="246">
        <f t="shared" si="2"/>
        <v>262</v>
      </c>
      <c r="AU27" s="249">
        <f t="shared" si="2"/>
        <v>270.01</v>
      </c>
      <c r="AV27" s="250">
        <f t="shared" si="2"/>
        <v>237</v>
      </c>
      <c r="AW27" s="251">
        <f t="shared" si="2"/>
        <v>244.26000000000002</v>
      </c>
      <c r="AX27" s="247">
        <f t="shared" si="2"/>
        <v>62</v>
      </c>
      <c r="AY27" s="249">
        <f>SUM(AY29:AY41)</f>
        <v>70.009999999999991</v>
      </c>
      <c r="AZ27" s="252">
        <f>SUM(AZ28:AZ41)</f>
        <v>137</v>
      </c>
      <c r="BA27" s="251">
        <f>SUM(BA29:BA41)</f>
        <v>140.9</v>
      </c>
      <c r="BB27" s="247">
        <f>SUM(BB28:BB41)</f>
        <v>137</v>
      </c>
      <c r="BC27" s="249">
        <f>SUM(BC29:BC41)</f>
        <v>140.9</v>
      </c>
    </row>
    <row r="28" spans="1:55" x14ac:dyDescent="0.2">
      <c r="A28" s="333" t="s">
        <v>20</v>
      </c>
      <c r="B28" s="163"/>
      <c r="C28" s="163"/>
      <c r="D28" s="38"/>
      <c r="E28" s="38"/>
      <c r="F28" s="163"/>
      <c r="G28" s="174"/>
      <c r="H28" s="209"/>
      <c r="I28" s="38"/>
      <c r="J28" s="163"/>
      <c r="K28" s="180"/>
      <c r="L28" s="82"/>
      <c r="M28" s="65"/>
      <c r="N28" s="163"/>
      <c r="O28" s="163"/>
      <c r="P28" s="65"/>
      <c r="Q28" s="65"/>
      <c r="R28" s="163"/>
      <c r="S28" s="163"/>
      <c r="T28" s="65"/>
      <c r="U28" s="65"/>
      <c r="V28" s="163"/>
      <c r="W28" s="163"/>
      <c r="X28" s="65"/>
      <c r="Y28" s="65"/>
      <c r="Z28" s="163"/>
      <c r="AA28" s="163"/>
      <c r="AB28" s="65"/>
      <c r="AC28" s="65"/>
      <c r="AD28" s="163"/>
      <c r="AE28" s="163"/>
      <c r="AF28" s="38"/>
      <c r="AG28" s="38"/>
      <c r="AH28" s="163"/>
      <c r="AI28" s="163"/>
      <c r="AJ28" s="210"/>
      <c r="AK28" s="57"/>
      <c r="AL28" s="211"/>
      <c r="AM28" s="163"/>
      <c r="AN28" s="65"/>
      <c r="AO28" s="122"/>
      <c r="AP28" s="214"/>
      <c r="AQ28" s="163"/>
      <c r="AR28" s="215"/>
      <c r="AS28" s="57"/>
      <c r="AT28" s="211"/>
      <c r="AU28" s="200"/>
      <c r="AV28" s="217"/>
      <c r="AW28" s="58"/>
      <c r="AX28" s="214"/>
      <c r="AY28" s="200"/>
      <c r="AZ28" s="219"/>
      <c r="BA28" s="58"/>
      <c r="BB28" s="214"/>
      <c r="BC28" s="200"/>
    </row>
    <row r="29" spans="1:55" x14ac:dyDescent="0.2">
      <c r="A29" s="334" t="s">
        <v>34</v>
      </c>
      <c r="B29" s="158"/>
      <c r="C29" s="158">
        <f>(C23-B23)/A2</f>
        <v>0</v>
      </c>
      <c r="D29" s="8"/>
      <c r="E29" s="8">
        <f>(E23-D23)/A2</f>
        <v>3.9000000000000057</v>
      </c>
      <c r="F29" s="158"/>
      <c r="G29" s="172">
        <f>(G23-F23)/A2</f>
        <v>0</v>
      </c>
      <c r="H29" s="130"/>
      <c r="I29" s="8">
        <f>(I23-H23)/A2</f>
        <v>6.9000000000000057</v>
      </c>
      <c r="J29" s="158"/>
      <c r="K29" s="176">
        <f>(K23-J23)/A2</f>
        <v>8.4000000000000341</v>
      </c>
      <c r="L29" s="75"/>
      <c r="M29" s="64">
        <f>(M23-L23)/A2</f>
        <v>10.5</v>
      </c>
      <c r="N29" s="158"/>
      <c r="O29" s="158">
        <f>(A4*0.04)/A2</f>
        <v>0</v>
      </c>
      <c r="P29" s="64"/>
      <c r="Q29" s="64">
        <f>(Q23-P23)/A2</f>
        <v>3.9000000000000057</v>
      </c>
      <c r="R29" s="158"/>
      <c r="S29" s="158">
        <f>(S23-R23)/A2</f>
        <v>3.9000000000000057</v>
      </c>
      <c r="T29" s="64"/>
      <c r="U29" s="64">
        <f>(U23-T23)/A2</f>
        <v>3.9000000000000057</v>
      </c>
      <c r="V29" s="158"/>
      <c r="W29" s="158">
        <f>(W23-V23)/A2</f>
        <v>5.4000000000000057</v>
      </c>
      <c r="X29" s="64"/>
      <c r="Y29" s="64">
        <f>(Y23-X23)/A2</f>
        <v>3.9000000000000057</v>
      </c>
      <c r="Z29" s="158"/>
      <c r="AA29" s="158">
        <f>(AA23-Z23)/A2</f>
        <v>3.9000000000000057</v>
      </c>
      <c r="AB29" s="64"/>
      <c r="AC29" s="64">
        <f>(AC23-AB23)/A2</f>
        <v>3.9000000000000057</v>
      </c>
      <c r="AD29" s="158"/>
      <c r="AE29" s="158">
        <f>(AE23-AD23)/A2</f>
        <v>0</v>
      </c>
      <c r="AF29" s="8"/>
      <c r="AG29" s="8">
        <f>(AG23-AF23)/A2</f>
        <v>1.230000000000004</v>
      </c>
      <c r="AH29" s="158"/>
      <c r="AI29" s="158">
        <f>(AI23-AH23)/A2</f>
        <v>5.1299999999999955</v>
      </c>
      <c r="AJ29" s="10"/>
      <c r="AK29" s="55">
        <f>(AK23-AJ23)/A2</f>
        <v>7.1100000000000136</v>
      </c>
      <c r="AL29" s="190"/>
      <c r="AM29" s="158">
        <f>(AM23-AL23)/A2</f>
        <v>7.2600000000000193</v>
      </c>
      <c r="AN29" s="64"/>
      <c r="AO29" s="119">
        <f>(AO23-AN23)/A2</f>
        <v>7.2600000000000193</v>
      </c>
      <c r="AP29" s="207"/>
      <c r="AQ29" s="158">
        <f>(AQ23-AP23)/A2</f>
        <v>8.0099999999999909</v>
      </c>
      <c r="AR29" s="146"/>
      <c r="AS29" s="55">
        <f>(AS23-AR23)/A2</f>
        <v>7.2600000000000193</v>
      </c>
      <c r="AT29" s="190"/>
      <c r="AU29" s="196">
        <f>(AU23-AT23)/A2</f>
        <v>8.0099999999999909</v>
      </c>
      <c r="AV29" s="221"/>
      <c r="AW29" s="28">
        <f>(AW23-AV23)/A2</f>
        <v>7.2600000000000193</v>
      </c>
      <c r="AX29" s="207"/>
      <c r="AY29" s="196">
        <f>(AY23-AX23)/A2</f>
        <v>8.0099999999999909</v>
      </c>
      <c r="AZ29" s="146"/>
      <c r="BA29" s="28">
        <f>(BA23-AZ23)/A2</f>
        <v>3.9000000000000057</v>
      </c>
      <c r="BB29" s="207"/>
      <c r="BC29" s="196">
        <f>(BC23-BB23)/A2</f>
        <v>3.9000000000000057</v>
      </c>
    </row>
    <row r="30" spans="1:55" x14ac:dyDescent="0.2">
      <c r="A30" s="151" t="s">
        <v>12</v>
      </c>
      <c r="B30" s="158"/>
      <c r="C30" s="158"/>
      <c r="D30" s="154">
        <f>B6</f>
        <v>100</v>
      </c>
      <c r="E30" s="154">
        <f>B6/A2</f>
        <v>100</v>
      </c>
      <c r="F30" s="158">
        <f>B6</f>
        <v>100</v>
      </c>
      <c r="G30" s="172">
        <f>B6/A2</f>
        <v>100</v>
      </c>
      <c r="H30" s="130">
        <f>B6</f>
        <v>100</v>
      </c>
      <c r="I30" s="8">
        <f>B6/A2</f>
        <v>100</v>
      </c>
      <c r="J30" s="158">
        <f>B6</f>
        <v>100</v>
      </c>
      <c r="K30" s="176">
        <f>B6/A2</f>
        <v>100</v>
      </c>
      <c r="L30" s="75"/>
      <c r="M30" s="64"/>
      <c r="N30" s="158"/>
      <c r="O30" s="158"/>
      <c r="P30" s="64">
        <f>B6</f>
        <v>100</v>
      </c>
      <c r="Q30" s="64">
        <f>B6/A2</f>
        <v>100</v>
      </c>
      <c r="R30" s="158">
        <f>B6</f>
        <v>100</v>
      </c>
      <c r="S30" s="158">
        <f>B6/A2</f>
        <v>100</v>
      </c>
      <c r="T30" s="64">
        <f>B6</f>
        <v>100</v>
      </c>
      <c r="U30" s="64">
        <f>B6/A2</f>
        <v>100</v>
      </c>
      <c r="V30" s="158">
        <f>B6</f>
        <v>100</v>
      </c>
      <c r="W30" s="158">
        <f>B6/A2</f>
        <v>100</v>
      </c>
      <c r="X30" s="64">
        <f>B6</f>
        <v>100</v>
      </c>
      <c r="Y30" s="64">
        <f>B6/A2</f>
        <v>100</v>
      </c>
      <c r="Z30" s="158">
        <f>B6</f>
        <v>100</v>
      </c>
      <c r="AA30" s="158">
        <f>B6/A2</f>
        <v>100</v>
      </c>
      <c r="AB30" s="64">
        <f>B6</f>
        <v>100</v>
      </c>
      <c r="AC30" s="64">
        <f>B6/A2</f>
        <v>100</v>
      </c>
      <c r="AD30" s="154"/>
      <c r="AE30" s="154"/>
      <c r="AF30" s="8"/>
      <c r="AG30" s="8"/>
      <c r="AH30" s="154">
        <f>B6</f>
        <v>100</v>
      </c>
      <c r="AI30" s="154">
        <f>B6/A2</f>
        <v>100</v>
      </c>
      <c r="AJ30" s="10">
        <f>B6</f>
        <v>100</v>
      </c>
      <c r="AK30" s="55">
        <f>B6/A2</f>
        <v>100</v>
      </c>
      <c r="AL30" s="190">
        <f>B6</f>
        <v>100</v>
      </c>
      <c r="AM30" s="158">
        <f>B6/A2</f>
        <v>100</v>
      </c>
      <c r="AN30" s="64">
        <f>B6</f>
        <v>100</v>
      </c>
      <c r="AO30" s="119">
        <f>B6/A2</f>
        <v>100</v>
      </c>
      <c r="AP30" s="207">
        <f>B6</f>
        <v>100</v>
      </c>
      <c r="AQ30" s="158">
        <f>B6/A2</f>
        <v>100</v>
      </c>
      <c r="AR30" s="146">
        <f>B6</f>
        <v>100</v>
      </c>
      <c r="AS30" s="55">
        <f>B6/A2</f>
        <v>100</v>
      </c>
      <c r="AT30" s="190">
        <f>B6</f>
        <v>100</v>
      </c>
      <c r="AU30" s="196">
        <f>B6/A2</f>
        <v>100</v>
      </c>
      <c r="AV30" s="221">
        <f>B6</f>
        <v>100</v>
      </c>
      <c r="AW30" s="28">
        <f>B6/A2</f>
        <v>100</v>
      </c>
      <c r="AX30" s="269"/>
      <c r="AY30" s="198"/>
      <c r="AZ30" s="146"/>
      <c r="BA30" s="28"/>
      <c r="BB30" s="207"/>
      <c r="BC30" s="196"/>
    </row>
    <row r="31" spans="1:55" x14ac:dyDescent="0.2">
      <c r="A31" s="151" t="s">
        <v>29</v>
      </c>
      <c r="B31" s="154">
        <f>B7+IF(A4=0,-25,0)</f>
        <v>0</v>
      </c>
      <c r="C31" s="154">
        <f>B31/A2</f>
        <v>0</v>
      </c>
      <c r="D31" s="8">
        <f>B7</f>
        <v>25</v>
      </c>
      <c r="E31" s="8">
        <f>B7/A2</f>
        <v>25</v>
      </c>
      <c r="F31" s="158">
        <f>B7</f>
        <v>25</v>
      </c>
      <c r="G31" s="172">
        <f>B7/A2</f>
        <v>25</v>
      </c>
      <c r="H31" s="130">
        <f>B7</f>
        <v>25</v>
      </c>
      <c r="I31" s="8">
        <f>B7/A2</f>
        <v>25</v>
      </c>
      <c r="J31" s="158">
        <f>B7</f>
        <v>25</v>
      </c>
      <c r="K31" s="176">
        <f>B7/A2</f>
        <v>25</v>
      </c>
      <c r="L31" s="75"/>
      <c r="M31" s="64"/>
      <c r="N31" s="158"/>
      <c r="O31" s="158"/>
      <c r="P31" s="64">
        <f>B7</f>
        <v>25</v>
      </c>
      <c r="Q31" s="64">
        <f>B7/A2</f>
        <v>25</v>
      </c>
      <c r="R31" s="158">
        <f>B7</f>
        <v>25</v>
      </c>
      <c r="S31" s="158">
        <f>B7/A2</f>
        <v>25</v>
      </c>
      <c r="T31" s="64">
        <f>B7</f>
        <v>25</v>
      </c>
      <c r="U31" s="64">
        <f>B7/A2</f>
        <v>25</v>
      </c>
      <c r="V31" s="158">
        <f>B7</f>
        <v>25</v>
      </c>
      <c r="W31" s="158">
        <f>B7/A2</f>
        <v>25</v>
      </c>
      <c r="X31" s="64">
        <f>B7</f>
        <v>25</v>
      </c>
      <c r="Y31" s="64">
        <f>B7/A2</f>
        <v>25</v>
      </c>
      <c r="Z31" s="158">
        <f>B7</f>
        <v>25</v>
      </c>
      <c r="AA31" s="158">
        <f>B7/A2</f>
        <v>25</v>
      </c>
      <c r="AB31" s="64">
        <f>B7</f>
        <v>25</v>
      </c>
      <c r="AC31" s="64">
        <f>B7/A2</f>
        <v>25</v>
      </c>
      <c r="AD31" s="154"/>
      <c r="AE31" s="154"/>
      <c r="AF31" s="8"/>
      <c r="AG31" s="8"/>
      <c r="AH31" s="154">
        <f>B7</f>
        <v>25</v>
      </c>
      <c r="AI31" s="154">
        <f>B7/A2</f>
        <v>25</v>
      </c>
      <c r="AJ31" s="10">
        <f>B7</f>
        <v>25</v>
      </c>
      <c r="AK31" s="55">
        <f>B7/A2</f>
        <v>25</v>
      </c>
      <c r="AL31" s="190">
        <f>B7</f>
        <v>25</v>
      </c>
      <c r="AM31" s="158">
        <f>B7/A2</f>
        <v>25</v>
      </c>
      <c r="AN31" s="64">
        <f>B7</f>
        <v>25</v>
      </c>
      <c r="AO31" s="119">
        <f>B7/A2</f>
        <v>25</v>
      </c>
      <c r="AP31" s="207">
        <f>B7</f>
        <v>25</v>
      </c>
      <c r="AQ31" s="158">
        <f>B7/A2</f>
        <v>25</v>
      </c>
      <c r="AR31" s="146">
        <f>B7</f>
        <v>25</v>
      </c>
      <c r="AS31" s="55">
        <f>B7/A2</f>
        <v>25</v>
      </c>
      <c r="AT31" s="190">
        <f>B7</f>
        <v>25</v>
      </c>
      <c r="AU31" s="196">
        <f>B7/A2</f>
        <v>25</v>
      </c>
      <c r="AV31" s="221">
        <f>B7</f>
        <v>25</v>
      </c>
      <c r="AW31" s="28">
        <f>B7/A2</f>
        <v>25</v>
      </c>
      <c r="AX31" s="205">
        <f>B7</f>
        <v>25</v>
      </c>
      <c r="AY31" s="206">
        <f>B7/A2</f>
        <v>25</v>
      </c>
      <c r="AZ31" s="59">
        <f>B7</f>
        <v>25</v>
      </c>
      <c r="BA31" s="145">
        <f>B7/A2</f>
        <v>25</v>
      </c>
      <c r="BB31" s="193">
        <f>B7</f>
        <v>25</v>
      </c>
      <c r="BC31" s="206">
        <f>B7/A2</f>
        <v>25</v>
      </c>
    </row>
    <row r="32" spans="1:55" x14ac:dyDescent="0.2">
      <c r="A32" s="151" t="s">
        <v>30</v>
      </c>
      <c r="B32" s="158"/>
      <c r="C32" s="158"/>
      <c r="D32" s="8"/>
      <c r="E32" s="8"/>
      <c r="F32" s="158"/>
      <c r="G32" s="172"/>
      <c r="H32" s="130"/>
      <c r="I32" s="8"/>
      <c r="J32" s="158"/>
      <c r="K32" s="176"/>
      <c r="L32" s="75"/>
      <c r="M32" s="64"/>
      <c r="N32" s="158"/>
      <c r="O32" s="158"/>
      <c r="P32" s="64"/>
      <c r="Q32" s="64"/>
      <c r="R32" s="158"/>
      <c r="S32" s="158"/>
      <c r="T32" s="64"/>
      <c r="U32" s="64"/>
      <c r="V32" s="158"/>
      <c r="W32" s="158"/>
      <c r="X32" s="64"/>
      <c r="Y32" s="64"/>
      <c r="Z32" s="158"/>
      <c r="AA32" s="158"/>
      <c r="AB32" s="64"/>
      <c r="AC32" s="64"/>
      <c r="AD32" s="158"/>
      <c r="AE32" s="158"/>
      <c r="AF32" s="8"/>
      <c r="AG32" s="8"/>
      <c r="AH32" s="158"/>
      <c r="AI32" s="158"/>
      <c r="AJ32" s="10">
        <f>B8</f>
        <v>100</v>
      </c>
      <c r="AK32" s="55">
        <f>B8/A2</f>
        <v>100</v>
      </c>
      <c r="AL32" s="190">
        <f>B8</f>
        <v>100</v>
      </c>
      <c r="AM32" s="158">
        <f>B8/A2</f>
        <v>100</v>
      </c>
      <c r="AN32" s="64">
        <f>B8</f>
        <v>100</v>
      </c>
      <c r="AO32" s="119">
        <f>B8/A2</f>
        <v>100</v>
      </c>
      <c r="AP32" s="207">
        <f>B8</f>
        <v>100</v>
      </c>
      <c r="AQ32" s="158">
        <f>B8/A2</f>
        <v>100</v>
      </c>
      <c r="AR32" s="146">
        <f>B8</f>
        <v>100</v>
      </c>
      <c r="AS32" s="55">
        <f>B8/A2</f>
        <v>100</v>
      </c>
      <c r="AT32" s="190">
        <f>B8</f>
        <v>100</v>
      </c>
      <c r="AU32" s="196">
        <f>B8/A2</f>
        <v>100</v>
      </c>
      <c r="AV32" s="221">
        <f>B8</f>
        <v>100</v>
      </c>
      <c r="AW32" s="28">
        <f>B8/A2</f>
        <v>100</v>
      </c>
      <c r="AX32" s="474"/>
      <c r="AY32" s="475"/>
      <c r="AZ32" s="59">
        <f>B8</f>
        <v>100</v>
      </c>
      <c r="BA32" s="253">
        <f>B8/A2</f>
        <v>100</v>
      </c>
      <c r="BB32" s="193">
        <f>B8</f>
        <v>100</v>
      </c>
      <c r="BC32" s="254">
        <f>B8/A2</f>
        <v>100</v>
      </c>
    </row>
    <row r="33" spans="1:55" x14ac:dyDescent="0.2">
      <c r="A33" s="151" t="s">
        <v>31</v>
      </c>
      <c r="B33" s="158"/>
      <c r="C33" s="158"/>
      <c r="D33" s="8"/>
      <c r="E33" s="8"/>
      <c r="F33" s="158"/>
      <c r="G33" s="172"/>
      <c r="H33" s="130"/>
      <c r="I33" s="8"/>
      <c r="J33" s="158"/>
      <c r="K33" s="176"/>
      <c r="L33" s="75"/>
      <c r="M33" s="64"/>
      <c r="N33" s="158"/>
      <c r="O33" s="158"/>
      <c r="P33" s="64"/>
      <c r="Q33" s="64"/>
      <c r="R33" s="158"/>
      <c r="S33" s="158"/>
      <c r="T33" s="64"/>
      <c r="U33" s="64"/>
      <c r="V33" s="158"/>
      <c r="W33" s="158"/>
      <c r="X33" s="64"/>
      <c r="Y33" s="64"/>
      <c r="Z33" s="158"/>
      <c r="AA33" s="158"/>
      <c r="AB33" s="64"/>
      <c r="AC33" s="64"/>
      <c r="AD33" s="158"/>
      <c r="AE33" s="158"/>
      <c r="AF33" s="8"/>
      <c r="AG33" s="8"/>
      <c r="AH33" s="158"/>
      <c r="AI33" s="158"/>
      <c r="AJ33" s="10">
        <f>B9</f>
        <v>12</v>
      </c>
      <c r="AK33" s="55">
        <f>B9/A2</f>
        <v>12</v>
      </c>
      <c r="AL33" s="190">
        <f>B9</f>
        <v>12</v>
      </c>
      <c r="AM33" s="158">
        <f>B9/A2</f>
        <v>12</v>
      </c>
      <c r="AN33" s="64">
        <f>B9</f>
        <v>12</v>
      </c>
      <c r="AO33" s="119">
        <f>B9/A2</f>
        <v>12</v>
      </c>
      <c r="AP33" s="207">
        <f>B9</f>
        <v>12</v>
      </c>
      <c r="AQ33" s="158">
        <f>B9/A2</f>
        <v>12</v>
      </c>
      <c r="AR33" s="146">
        <f>B9</f>
        <v>12</v>
      </c>
      <c r="AS33" s="255">
        <f>B9/A2</f>
        <v>12</v>
      </c>
      <c r="AT33" s="190">
        <f>B9</f>
        <v>12</v>
      </c>
      <c r="AU33" s="196">
        <f>B9/A2</f>
        <v>12</v>
      </c>
      <c r="AV33" s="221">
        <f>B9</f>
        <v>12</v>
      </c>
      <c r="AW33" s="28">
        <f>B9/A2</f>
        <v>12</v>
      </c>
      <c r="AX33" s="205">
        <f>B9</f>
        <v>12</v>
      </c>
      <c r="AY33" s="206">
        <f>B9/A2</f>
        <v>12</v>
      </c>
      <c r="AZ33" s="59">
        <f>B9</f>
        <v>12</v>
      </c>
      <c r="BA33" s="145">
        <f>B9/A2</f>
        <v>12</v>
      </c>
      <c r="BB33" s="193">
        <f>B9</f>
        <v>12</v>
      </c>
      <c r="BC33" s="206">
        <f>B9/A2</f>
        <v>12</v>
      </c>
    </row>
    <row r="34" spans="1:55" x14ac:dyDescent="0.2">
      <c r="A34" s="151" t="s">
        <v>76</v>
      </c>
      <c r="B34" s="158"/>
      <c r="C34" s="158"/>
      <c r="D34" s="8"/>
      <c r="E34" s="8"/>
      <c r="F34" s="158"/>
      <c r="G34" s="172"/>
      <c r="H34" s="398">
        <f>B8</f>
        <v>100</v>
      </c>
      <c r="I34" s="399">
        <f>B6/A2</f>
        <v>100</v>
      </c>
      <c r="J34" s="156">
        <f>B10</f>
        <v>150</v>
      </c>
      <c r="K34" s="157">
        <f>B10/A2</f>
        <v>150</v>
      </c>
      <c r="L34" s="75"/>
      <c r="M34" s="64"/>
      <c r="N34" s="158"/>
      <c r="O34" s="158"/>
      <c r="P34" s="64"/>
      <c r="Q34" s="64"/>
      <c r="R34" s="158"/>
      <c r="S34" s="158"/>
      <c r="T34" s="64"/>
      <c r="U34" s="64"/>
      <c r="V34" s="158"/>
      <c r="W34" s="158"/>
      <c r="X34" s="64"/>
      <c r="Y34" s="64"/>
      <c r="Z34" s="158"/>
      <c r="AA34" s="158"/>
      <c r="AB34" s="64"/>
      <c r="AC34" s="64"/>
      <c r="AD34" s="158"/>
      <c r="AE34" s="158"/>
      <c r="AF34" s="8"/>
      <c r="AG34" s="8"/>
      <c r="AH34" s="158"/>
      <c r="AI34" s="158"/>
      <c r="AJ34" s="10"/>
      <c r="AK34" s="55"/>
      <c r="AL34" s="190"/>
      <c r="AM34" s="158"/>
      <c r="AN34" s="64"/>
      <c r="AO34" s="119"/>
      <c r="AP34" s="207"/>
      <c r="AQ34" s="158"/>
      <c r="AR34" s="146"/>
      <c r="AS34" s="55"/>
      <c r="AT34" s="190"/>
      <c r="AU34" s="196"/>
      <c r="AV34" s="221"/>
      <c r="AW34" s="28"/>
      <c r="AX34" s="207"/>
      <c r="AY34" s="196"/>
      <c r="AZ34" s="146"/>
      <c r="BA34" s="28"/>
      <c r="BB34" s="207"/>
      <c r="BC34" s="196"/>
    </row>
    <row r="35" spans="1:55" x14ac:dyDescent="0.2">
      <c r="A35" s="151" t="s">
        <v>42</v>
      </c>
      <c r="B35" s="158"/>
      <c r="C35" s="158"/>
      <c r="D35" s="8"/>
      <c r="E35" s="8"/>
      <c r="F35" s="158"/>
      <c r="G35" s="172"/>
      <c r="H35" s="130"/>
      <c r="I35" s="8"/>
      <c r="J35" s="158"/>
      <c r="K35" s="176"/>
      <c r="L35" s="75"/>
      <c r="M35" s="64"/>
      <c r="N35" s="158"/>
      <c r="O35" s="158"/>
      <c r="P35" s="64"/>
      <c r="Q35" s="64"/>
      <c r="R35" s="158"/>
      <c r="S35" s="158"/>
      <c r="T35" s="64"/>
      <c r="U35" s="64"/>
      <c r="V35" s="154">
        <f>B12</f>
        <v>50</v>
      </c>
      <c r="W35" s="154">
        <f>B12/A2</f>
        <v>50</v>
      </c>
      <c r="X35" s="64"/>
      <c r="Y35" s="64"/>
      <c r="Z35" s="158"/>
      <c r="AA35" s="158"/>
      <c r="AB35" s="64"/>
      <c r="AC35" s="64"/>
      <c r="AD35" s="158"/>
      <c r="AE35" s="158"/>
      <c r="AF35" s="8"/>
      <c r="AG35" s="8"/>
      <c r="AH35" s="158"/>
      <c r="AI35" s="158"/>
      <c r="AJ35" s="10"/>
      <c r="AK35" s="55"/>
      <c r="AL35" s="190"/>
      <c r="AM35" s="158"/>
      <c r="AN35" s="64"/>
      <c r="AO35" s="119"/>
      <c r="AP35" s="207"/>
      <c r="AQ35" s="158"/>
      <c r="AR35" s="146"/>
      <c r="AS35" s="55"/>
      <c r="AT35" s="190"/>
      <c r="AU35" s="196"/>
      <c r="AV35" s="221"/>
      <c r="AW35" s="28"/>
      <c r="AX35" s="207"/>
      <c r="AY35" s="196"/>
      <c r="AZ35" s="146"/>
      <c r="BA35" s="28"/>
      <c r="BB35" s="207"/>
      <c r="BC35" s="196"/>
    </row>
    <row r="36" spans="1:55" x14ac:dyDescent="0.2">
      <c r="A36" s="151" t="s">
        <v>96</v>
      </c>
      <c r="B36" s="158"/>
      <c r="C36" s="158"/>
      <c r="D36" s="8"/>
      <c r="E36" s="8"/>
      <c r="F36" s="158"/>
      <c r="G36" s="172"/>
      <c r="H36" s="130"/>
      <c r="I36" s="8"/>
      <c r="J36" s="158"/>
      <c r="K36" s="176"/>
      <c r="L36" s="75"/>
      <c r="M36" s="64"/>
      <c r="N36" s="158"/>
      <c r="O36" s="158"/>
      <c r="P36" s="64"/>
      <c r="Q36" s="64"/>
      <c r="R36" s="158"/>
      <c r="S36" s="158"/>
      <c r="T36" s="64"/>
      <c r="U36" s="64"/>
      <c r="V36" s="158"/>
      <c r="W36" s="158"/>
      <c r="X36" s="64"/>
      <c r="Y36" s="64"/>
      <c r="Z36" s="158"/>
      <c r="AA36" s="158"/>
      <c r="AB36" s="64"/>
      <c r="AC36" s="64"/>
      <c r="AD36" s="158"/>
      <c r="AE36" s="158"/>
      <c r="AF36" s="8"/>
      <c r="AG36" s="8"/>
      <c r="AH36" s="158"/>
      <c r="AI36" s="158"/>
      <c r="AJ36" s="10"/>
      <c r="AK36" s="55"/>
      <c r="AL36" s="190"/>
      <c r="AM36" s="158"/>
      <c r="AN36" s="64"/>
      <c r="AO36" s="119"/>
      <c r="AP36" s="207"/>
      <c r="AQ36" s="158"/>
      <c r="AR36" s="146"/>
      <c r="AS36" s="55"/>
      <c r="AT36" s="190"/>
      <c r="AU36" s="196"/>
      <c r="AV36" s="221"/>
      <c r="AW36" s="28"/>
      <c r="AX36" s="205"/>
      <c r="AY36" s="196"/>
      <c r="AZ36" s="222"/>
      <c r="BA36" s="28"/>
      <c r="BB36" s="205"/>
      <c r="BC36" s="196"/>
    </row>
    <row r="37" spans="1:55" x14ac:dyDescent="0.2">
      <c r="A37" s="151" t="s">
        <v>63</v>
      </c>
      <c r="B37" s="158"/>
      <c r="C37" s="158"/>
      <c r="D37" s="8"/>
      <c r="E37" s="8"/>
      <c r="F37" s="158"/>
      <c r="G37" s="172"/>
      <c r="H37" s="130"/>
      <c r="I37" s="8"/>
      <c r="J37" s="158"/>
      <c r="K37" s="176"/>
      <c r="L37" s="75"/>
      <c r="M37" s="64"/>
      <c r="N37" s="158"/>
      <c r="O37" s="158"/>
      <c r="P37" s="64"/>
      <c r="Q37" s="64"/>
      <c r="R37" s="158"/>
      <c r="S37" s="158"/>
      <c r="T37" s="64"/>
      <c r="U37" s="64"/>
      <c r="V37" s="158"/>
      <c r="W37" s="158"/>
      <c r="X37" s="64"/>
      <c r="Y37" s="64"/>
      <c r="Z37" s="158"/>
      <c r="AA37" s="158"/>
      <c r="AB37" s="64"/>
      <c r="AC37" s="64"/>
      <c r="AD37" s="158"/>
      <c r="AE37" s="158"/>
      <c r="AF37" s="8"/>
      <c r="AG37" s="8"/>
      <c r="AH37" s="158"/>
      <c r="AI37" s="158"/>
      <c r="AJ37" s="10"/>
      <c r="AK37" s="55"/>
      <c r="AL37" s="190"/>
      <c r="AM37" s="158"/>
      <c r="AN37" s="64"/>
      <c r="AO37" s="119"/>
      <c r="AP37" s="193">
        <f>B16</f>
        <v>25</v>
      </c>
      <c r="AQ37" s="158">
        <f>B16/A2</f>
        <v>25</v>
      </c>
      <c r="AR37" s="94"/>
      <c r="AS37" s="95"/>
      <c r="AT37" s="197">
        <f>B16</f>
        <v>25</v>
      </c>
      <c r="AU37" s="198">
        <f>B16/A2</f>
        <v>25</v>
      </c>
      <c r="AV37" s="96"/>
      <c r="AW37" s="97"/>
      <c r="AX37" s="207">
        <f>B16</f>
        <v>25</v>
      </c>
      <c r="AY37" s="196">
        <f>AX37/A2</f>
        <v>25</v>
      </c>
      <c r="AZ37" s="146"/>
      <c r="BA37" s="28"/>
      <c r="BB37" s="207"/>
      <c r="BC37" s="196"/>
    </row>
    <row r="38" spans="1:55" x14ac:dyDescent="0.2">
      <c r="A38" s="335" t="s">
        <v>80</v>
      </c>
      <c r="B38" s="159"/>
      <c r="C38" s="159"/>
      <c r="D38" s="29"/>
      <c r="E38" s="29"/>
      <c r="F38" s="159"/>
      <c r="G38" s="173"/>
      <c r="H38" s="131"/>
      <c r="I38" s="29"/>
      <c r="J38" s="159"/>
      <c r="K38" s="177"/>
      <c r="L38" s="155">
        <f>B17</f>
        <v>350</v>
      </c>
      <c r="M38" s="156">
        <f>L38/A2</f>
        <v>350</v>
      </c>
      <c r="N38" s="159"/>
      <c r="O38" s="159"/>
      <c r="P38" s="66"/>
      <c r="Q38" s="66"/>
      <c r="R38" s="159"/>
      <c r="S38" s="159"/>
      <c r="T38" s="66"/>
      <c r="U38" s="66"/>
      <c r="V38" s="159"/>
      <c r="W38" s="159"/>
      <c r="X38" s="66"/>
      <c r="Y38" s="66"/>
      <c r="Z38" s="159"/>
      <c r="AA38" s="159"/>
      <c r="AB38" s="66"/>
      <c r="AC38" s="66"/>
      <c r="AD38" s="159"/>
      <c r="AE38" s="159"/>
      <c r="AF38" s="29"/>
      <c r="AG38" s="29"/>
      <c r="AH38" s="159"/>
      <c r="AI38" s="159"/>
      <c r="AJ38" s="35"/>
      <c r="AK38" s="56"/>
      <c r="AL38" s="191"/>
      <c r="AM38" s="159"/>
      <c r="AN38" s="66"/>
      <c r="AO38" s="120"/>
      <c r="AP38" s="207"/>
      <c r="AQ38" s="158"/>
      <c r="AR38" s="146"/>
      <c r="AS38" s="55"/>
      <c r="AT38" s="191"/>
      <c r="AU38" s="199"/>
      <c r="AV38" s="30"/>
      <c r="AW38" s="31"/>
      <c r="AX38" s="208"/>
      <c r="AY38" s="199"/>
      <c r="AZ38" s="147"/>
      <c r="BA38" s="31"/>
      <c r="BB38" s="208"/>
      <c r="BC38" s="199"/>
    </row>
    <row r="39" spans="1:55" x14ac:dyDescent="0.2">
      <c r="A39" s="336" t="s">
        <v>35</v>
      </c>
      <c r="B39" s="158"/>
      <c r="C39" s="158"/>
      <c r="D39" s="8"/>
      <c r="E39" s="8"/>
      <c r="F39" s="158"/>
      <c r="G39" s="172"/>
      <c r="H39" s="130"/>
      <c r="I39" s="8"/>
      <c r="J39" s="158"/>
      <c r="K39" s="176"/>
      <c r="L39" s="256"/>
      <c r="M39" s="84"/>
      <c r="N39" s="158"/>
      <c r="O39" s="158"/>
      <c r="P39" s="64"/>
      <c r="Q39" s="64"/>
      <c r="R39" s="158"/>
      <c r="S39" s="158"/>
      <c r="T39" s="64"/>
      <c r="U39" s="64"/>
      <c r="V39" s="158"/>
      <c r="W39" s="158"/>
      <c r="X39" s="64"/>
      <c r="Y39" s="64"/>
      <c r="Z39" s="158"/>
      <c r="AA39" s="158"/>
      <c r="AB39" s="64"/>
      <c r="AC39" s="64"/>
      <c r="AD39" s="158"/>
      <c r="AE39" s="158"/>
      <c r="AF39" s="154">
        <f>B13</f>
        <v>41</v>
      </c>
      <c r="AG39" s="154">
        <f>B13/A2</f>
        <v>41</v>
      </c>
      <c r="AH39" s="154">
        <f>B13</f>
        <v>41</v>
      </c>
      <c r="AI39" s="154">
        <f>B13/A2</f>
        <v>41</v>
      </c>
      <c r="AJ39" s="10"/>
      <c r="AK39" s="55"/>
      <c r="AL39" s="190"/>
      <c r="AM39" s="158"/>
      <c r="AN39" s="64"/>
      <c r="AO39" s="119"/>
      <c r="AP39" s="207"/>
      <c r="AQ39" s="158"/>
      <c r="AR39" s="146"/>
      <c r="AS39" s="55"/>
      <c r="AT39" s="190"/>
      <c r="AU39" s="196"/>
      <c r="AV39" s="221"/>
      <c r="AW39" s="28"/>
      <c r="AX39" s="207"/>
      <c r="AY39" s="196"/>
      <c r="AZ39" s="146"/>
      <c r="BA39" s="28"/>
      <c r="BB39" s="207"/>
      <c r="BC39" s="196"/>
    </row>
    <row r="40" spans="1:55" ht="13.5" thickBot="1" x14ac:dyDescent="0.25">
      <c r="A40" s="337"/>
      <c r="B40" s="223"/>
      <c r="C40" s="223"/>
      <c r="D40" s="224"/>
      <c r="E40" s="224"/>
      <c r="F40" s="223"/>
      <c r="G40" s="225"/>
      <c r="H40" s="226"/>
      <c r="I40" s="224"/>
      <c r="J40" s="223"/>
      <c r="K40" s="227"/>
      <c r="L40" s="257"/>
      <c r="M40" s="258"/>
      <c r="N40" s="223"/>
      <c r="O40" s="223"/>
      <c r="P40" s="229"/>
      <c r="Q40" s="229"/>
      <c r="R40" s="223"/>
      <c r="S40" s="223"/>
      <c r="T40" s="229"/>
      <c r="U40" s="229"/>
      <c r="V40" s="223"/>
      <c r="W40" s="223"/>
      <c r="X40" s="229"/>
      <c r="Y40" s="229"/>
      <c r="Z40" s="223"/>
      <c r="AA40" s="223"/>
      <c r="AB40" s="229"/>
      <c r="AC40" s="229"/>
      <c r="AD40" s="223"/>
      <c r="AE40" s="223"/>
      <c r="AF40" s="224"/>
      <c r="AG40" s="224"/>
      <c r="AH40" s="223"/>
      <c r="AI40" s="223"/>
      <c r="AJ40" s="230"/>
      <c r="AK40" s="231"/>
      <c r="AL40" s="232"/>
      <c r="AM40" s="223"/>
      <c r="AN40" s="229"/>
      <c r="AO40" s="233"/>
      <c r="AP40" s="234"/>
      <c r="AQ40" s="223"/>
      <c r="AR40" s="235"/>
      <c r="AS40" s="231"/>
      <c r="AT40" s="232"/>
      <c r="AU40" s="236"/>
      <c r="AV40" s="237"/>
      <c r="AW40" s="238"/>
      <c r="AX40" s="234"/>
      <c r="AY40" s="236"/>
      <c r="AZ40" s="239"/>
      <c r="BA40" s="238"/>
      <c r="BB40" s="234"/>
      <c r="BC40" s="236"/>
    </row>
    <row r="41" spans="1:55" ht="13.5" thickBot="1" x14ac:dyDescent="0.25">
      <c r="A41" s="338" t="s">
        <v>32</v>
      </c>
      <c r="B41" s="240">
        <f>A4*1.075</f>
        <v>0</v>
      </c>
      <c r="C41" s="240">
        <f>(A4*1.075)/A2</f>
        <v>0</v>
      </c>
      <c r="D41" s="52">
        <f>A4*1.075</f>
        <v>0</v>
      </c>
      <c r="E41" s="53">
        <f>(A4*1.075)/A2</f>
        <v>0</v>
      </c>
      <c r="F41" s="259">
        <f>A4*1.075</f>
        <v>0</v>
      </c>
      <c r="G41" s="241">
        <f>(A4*1.075)/A2</f>
        <v>0</v>
      </c>
      <c r="H41" s="132">
        <f>A4*1.075</f>
        <v>0</v>
      </c>
      <c r="I41" s="53">
        <f>(B5*1.075)/A2</f>
        <v>0</v>
      </c>
      <c r="J41" s="259">
        <f>A4*1.075</f>
        <v>0</v>
      </c>
      <c r="K41" s="243">
        <f>(A4*1.075)/A2</f>
        <v>0</v>
      </c>
      <c r="L41" s="260"/>
      <c r="M41" s="261"/>
      <c r="N41" s="240"/>
      <c r="O41" s="240"/>
      <c r="P41" s="79">
        <f>A4*1.075</f>
        <v>0</v>
      </c>
      <c r="Q41" s="78">
        <f>(A4*1.075)/A2</f>
        <v>0</v>
      </c>
      <c r="R41" s="240">
        <f>A4*1.075</f>
        <v>0</v>
      </c>
      <c r="S41" s="240">
        <f>(A4*1.075)/A2</f>
        <v>0</v>
      </c>
      <c r="T41" s="79">
        <f>A4*1.075</f>
        <v>0</v>
      </c>
      <c r="U41" s="78">
        <f>(A4*1.075)/A2</f>
        <v>0</v>
      </c>
      <c r="V41" s="259">
        <f>A4*1.075</f>
        <v>0</v>
      </c>
      <c r="W41" s="240">
        <f>(A4*1.075)/A2</f>
        <v>0</v>
      </c>
      <c r="X41" s="79">
        <f>A4*1.075</f>
        <v>0</v>
      </c>
      <c r="Y41" s="78">
        <f>(A4*1.075)/A2</f>
        <v>0</v>
      </c>
      <c r="Z41" s="259">
        <f>A4*1.075</f>
        <v>0</v>
      </c>
      <c r="AA41" s="240">
        <f>(A4*1.075)/A2</f>
        <v>0</v>
      </c>
      <c r="AB41" s="79">
        <f>A4*1.075</f>
        <v>0</v>
      </c>
      <c r="AC41" s="78">
        <f>(A4*1.075)/A2</f>
        <v>0</v>
      </c>
      <c r="AD41" s="240"/>
      <c r="AE41" s="240"/>
      <c r="AF41" s="53"/>
      <c r="AG41" s="53"/>
      <c r="AH41" s="240">
        <f>A4*1.075</f>
        <v>0</v>
      </c>
      <c r="AI41" s="240">
        <f>(A4*1.075)/A2</f>
        <v>0</v>
      </c>
      <c r="AJ41" s="244">
        <f>A4*1.075</f>
        <v>0</v>
      </c>
      <c r="AK41" s="245">
        <f>(A4*1.075)/A2</f>
        <v>0</v>
      </c>
      <c r="AL41" s="246">
        <f>A4*1.075</f>
        <v>0</v>
      </c>
      <c r="AM41" s="240">
        <f>(A4*1.075)/A2</f>
        <v>0</v>
      </c>
      <c r="AN41" s="78">
        <f>A4*1.075</f>
        <v>0</v>
      </c>
      <c r="AO41" s="121">
        <f>(A4*1.075)/A2</f>
        <v>0</v>
      </c>
      <c r="AP41" s="247">
        <f>A4*1.075</f>
        <v>0</v>
      </c>
      <c r="AQ41" s="240">
        <f>(A4*1.075)/A2</f>
        <v>0</v>
      </c>
      <c r="AR41" s="248">
        <f>A4*1.075</f>
        <v>0</v>
      </c>
      <c r="AS41" s="245">
        <f>(A4*1.075)/A2</f>
        <v>0</v>
      </c>
      <c r="AT41" s="246">
        <f>A4*1.075</f>
        <v>0</v>
      </c>
      <c r="AU41" s="249">
        <f>(A4*1.075)/A2</f>
        <v>0</v>
      </c>
      <c r="AV41" s="250">
        <f>A4*1.075</f>
        <v>0</v>
      </c>
      <c r="AW41" s="251">
        <f>(A4*1.075)/A2</f>
        <v>0</v>
      </c>
      <c r="AX41" s="247">
        <f>A4*1.075</f>
        <v>0</v>
      </c>
      <c r="AY41" s="249">
        <f>(A4*1.075)/A2</f>
        <v>0</v>
      </c>
      <c r="AZ41" s="252">
        <f>A4*1.075</f>
        <v>0</v>
      </c>
      <c r="BA41" s="251">
        <f>(A4*1.075)/A2</f>
        <v>0</v>
      </c>
      <c r="BB41" s="247">
        <f>A4*1.075</f>
        <v>0</v>
      </c>
      <c r="BC41" s="249">
        <f>(A4*1.075)/A2</f>
        <v>0</v>
      </c>
    </row>
    <row r="42" spans="1:55" x14ac:dyDescent="0.2">
      <c r="A42" s="339" t="s">
        <v>44</v>
      </c>
      <c r="B42" s="163">
        <f t="shared" ref="B42:G42" si="3">B41*0.1116</f>
        <v>0</v>
      </c>
      <c r="C42" s="163">
        <f>C41*0.1116</f>
        <v>0</v>
      </c>
      <c r="D42" s="38">
        <f t="shared" si="3"/>
        <v>0</v>
      </c>
      <c r="E42" s="38">
        <f t="shared" si="3"/>
        <v>0</v>
      </c>
      <c r="F42" s="163">
        <f t="shared" si="3"/>
        <v>0</v>
      </c>
      <c r="G42" s="174">
        <f t="shared" si="3"/>
        <v>0</v>
      </c>
      <c r="H42" s="209">
        <f>H41*0.1116</f>
        <v>0</v>
      </c>
      <c r="I42" s="38">
        <f>I41*0.1116</f>
        <v>0</v>
      </c>
      <c r="J42" s="163">
        <f>J41*0.1116</f>
        <v>0</v>
      </c>
      <c r="K42" s="180">
        <f>K41*0.1116</f>
        <v>0</v>
      </c>
      <c r="L42" s="262"/>
      <c r="M42" s="83"/>
      <c r="N42" s="163"/>
      <c r="O42" s="163"/>
      <c r="P42" s="65">
        <f t="shared" ref="P42:AC42" si="4">P41*0.1116</f>
        <v>0</v>
      </c>
      <c r="Q42" s="65">
        <f t="shared" si="4"/>
        <v>0</v>
      </c>
      <c r="R42" s="163">
        <f t="shared" si="4"/>
        <v>0</v>
      </c>
      <c r="S42" s="163">
        <f t="shared" si="4"/>
        <v>0</v>
      </c>
      <c r="T42" s="65">
        <f t="shared" si="4"/>
        <v>0</v>
      </c>
      <c r="U42" s="65">
        <f t="shared" si="4"/>
        <v>0</v>
      </c>
      <c r="V42" s="163">
        <f t="shared" si="4"/>
        <v>0</v>
      </c>
      <c r="W42" s="163">
        <f t="shared" si="4"/>
        <v>0</v>
      </c>
      <c r="X42" s="65">
        <f t="shared" si="4"/>
        <v>0</v>
      </c>
      <c r="Y42" s="65">
        <f t="shared" si="4"/>
        <v>0</v>
      </c>
      <c r="Z42" s="163">
        <f t="shared" si="4"/>
        <v>0</v>
      </c>
      <c r="AA42" s="163">
        <f t="shared" si="4"/>
        <v>0</v>
      </c>
      <c r="AB42" s="65">
        <f t="shared" si="4"/>
        <v>0</v>
      </c>
      <c r="AC42" s="65">
        <f t="shared" si="4"/>
        <v>0</v>
      </c>
      <c r="AD42" s="184"/>
      <c r="AE42" s="184"/>
      <c r="AF42" s="38"/>
      <c r="AG42" s="48"/>
      <c r="AH42" s="163">
        <f t="shared" ref="AH42:AO42" si="5">AH41*0.1116</f>
        <v>0</v>
      </c>
      <c r="AI42" s="163">
        <f t="shared" si="5"/>
        <v>0</v>
      </c>
      <c r="AJ42" s="210">
        <f t="shared" si="5"/>
        <v>0</v>
      </c>
      <c r="AK42" s="57">
        <f t="shared" si="5"/>
        <v>0</v>
      </c>
      <c r="AL42" s="211">
        <f>AL41*0.1116</f>
        <v>0</v>
      </c>
      <c r="AM42" s="163">
        <f>AM41*0.1116</f>
        <v>0</v>
      </c>
      <c r="AN42" s="65">
        <f t="shared" si="5"/>
        <v>0</v>
      </c>
      <c r="AO42" s="122">
        <f t="shared" si="5"/>
        <v>0</v>
      </c>
      <c r="AP42" s="214">
        <f t="shared" ref="AP42:AW42" si="6">AP41*0.1116</f>
        <v>0</v>
      </c>
      <c r="AQ42" s="163">
        <f t="shared" si="6"/>
        <v>0</v>
      </c>
      <c r="AR42" s="215">
        <f>AR41*0.1116</f>
        <v>0</v>
      </c>
      <c r="AS42" s="57">
        <f>AS41*0.1116</f>
        <v>0</v>
      </c>
      <c r="AT42" s="211">
        <f>AT41*0.1116</f>
        <v>0</v>
      </c>
      <c r="AU42" s="200">
        <f>AU41*0.1116</f>
        <v>0</v>
      </c>
      <c r="AV42" s="217">
        <f t="shared" si="6"/>
        <v>0</v>
      </c>
      <c r="AW42" s="58">
        <f t="shared" si="6"/>
        <v>0</v>
      </c>
      <c r="AX42" s="214">
        <f t="shared" ref="AX42:BC42" si="7">AX41*0.1116</f>
        <v>0</v>
      </c>
      <c r="AY42" s="200">
        <f t="shared" si="7"/>
        <v>0</v>
      </c>
      <c r="AZ42" s="219">
        <f t="shared" si="7"/>
        <v>0</v>
      </c>
      <c r="BA42" s="58">
        <f t="shared" si="7"/>
        <v>0</v>
      </c>
      <c r="BB42" s="214">
        <f t="shared" si="7"/>
        <v>0</v>
      </c>
      <c r="BC42" s="200">
        <f t="shared" si="7"/>
        <v>0</v>
      </c>
    </row>
    <row r="43" spans="1:55" x14ac:dyDescent="0.2">
      <c r="A43" s="151" t="s">
        <v>45</v>
      </c>
      <c r="B43" s="158">
        <f t="shared" ref="B43:G43" si="8">B41*0.8884</f>
        <v>0</v>
      </c>
      <c r="C43" s="158">
        <f t="shared" si="8"/>
        <v>0</v>
      </c>
      <c r="D43" s="8">
        <f t="shared" si="8"/>
        <v>0</v>
      </c>
      <c r="E43" s="8">
        <f t="shared" si="8"/>
        <v>0</v>
      </c>
      <c r="F43" s="158">
        <f t="shared" si="8"/>
        <v>0</v>
      </c>
      <c r="G43" s="172">
        <f t="shared" si="8"/>
        <v>0</v>
      </c>
      <c r="H43" s="130">
        <f>H41*0.8884</f>
        <v>0</v>
      </c>
      <c r="I43" s="8">
        <f>I41*0.8884</f>
        <v>0</v>
      </c>
      <c r="J43" s="158">
        <f>J41*0.8884</f>
        <v>0</v>
      </c>
      <c r="K43" s="176">
        <f>K41*0.8884</f>
        <v>0</v>
      </c>
      <c r="L43" s="256"/>
      <c r="M43" s="84"/>
      <c r="N43" s="158"/>
      <c r="O43" s="158"/>
      <c r="P43" s="64">
        <f t="shared" ref="P43:AC43" si="9">P41*0.8884</f>
        <v>0</v>
      </c>
      <c r="Q43" s="64">
        <f t="shared" si="9"/>
        <v>0</v>
      </c>
      <c r="R43" s="158">
        <f t="shared" si="9"/>
        <v>0</v>
      </c>
      <c r="S43" s="158">
        <f t="shared" si="9"/>
        <v>0</v>
      </c>
      <c r="T43" s="64">
        <f t="shared" si="9"/>
        <v>0</v>
      </c>
      <c r="U43" s="64">
        <f t="shared" si="9"/>
        <v>0</v>
      </c>
      <c r="V43" s="158">
        <f>V41*0.8884</f>
        <v>0</v>
      </c>
      <c r="W43" s="158">
        <f>W41*0.8884</f>
        <v>0</v>
      </c>
      <c r="X43" s="64">
        <f>X41*0.8884</f>
        <v>0</v>
      </c>
      <c r="Y43" s="64">
        <f>Y41*0.8884</f>
        <v>0</v>
      </c>
      <c r="Z43" s="158">
        <f t="shared" si="9"/>
        <v>0</v>
      </c>
      <c r="AA43" s="158">
        <f t="shared" si="9"/>
        <v>0</v>
      </c>
      <c r="AB43" s="64">
        <f t="shared" si="9"/>
        <v>0</v>
      </c>
      <c r="AC43" s="64">
        <f t="shared" si="9"/>
        <v>0</v>
      </c>
      <c r="AD43" s="185"/>
      <c r="AE43" s="185"/>
      <c r="AF43" s="8"/>
      <c r="AG43" s="9"/>
      <c r="AH43" s="158">
        <f t="shared" ref="AH43:AO43" si="10">AH41*0.8884</f>
        <v>0</v>
      </c>
      <c r="AI43" s="158">
        <f t="shared" si="10"/>
        <v>0</v>
      </c>
      <c r="AJ43" s="10">
        <f t="shared" si="10"/>
        <v>0</v>
      </c>
      <c r="AK43" s="55">
        <f t="shared" si="10"/>
        <v>0</v>
      </c>
      <c r="AL43" s="190">
        <f>AL41*0.8884</f>
        <v>0</v>
      </c>
      <c r="AM43" s="158">
        <f>AM41*0.8884</f>
        <v>0</v>
      </c>
      <c r="AN43" s="64">
        <f t="shared" si="10"/>
        <v>0</v>
      </c>
      <c r="AO43" s="119">
        <f t="shared" si="10"/>
        <v>0</v>
      </c>
      <c r="AP43" s="207">
        <f t="shared" ref="AP43:AW43" si="11">AP41*0.8884</f>
        <v>0</v>
      </c>
      <c r="AQ43" s="158">
        <f t="shared" si="11"/>
        <v>0</v>
      </c>
      <c r="AR43" s="146">
        <f>AR41*0.8884</f>
        <v>0</v>
      </c>
      <c r="AS43" s="55">
        <f>AS41*0.8884</f>
        <v>0</v>
      </c>
      <c r="AT43" s="190">
        <f>AT41*0.8884</f>
        <v>0</v>
      </c>
      <c r="AU43" s="196">
        <f>AU41*0.8884</f>
        <v>0</v>
      </c>
      <c r="AV43" s="221">
        <f t="shared" si="11"/>
        <v>0</v>
      </c>
      <c r="AW43" s="28">
        <f t="shared" si="11"/>
        <v>0</v>
      </c>
      <c r="AX43" s="207">
        <f t="shared" ref="AX43:BC43" si="12">AX41*0.8884</f>
        <v>0</v>
      </c>
      <c r="AY43" s="196">
        <f t="shared" si="12"/>
        <v>0</v>
      </c>
      <c r="AZ43" s="146">
        <f t="shared" si="12"/>
        <v>0</v>
      </c>
      <c r="BA43" s="28">
        <f t="shared" si="12"/>
        <v>0</v>
      </c>
      <c r="BB43" s="207">
        <f t="shared" si="12"/>
        <v>0</v>
      </c>
      <c r="BC43" s="196">
        <f t="shared" si="12"/>
        <v>0</v>
      </c>
    </row>
    <row r="44" spans="1:55" ht="13.5" thickBot="1" x14ac:dyDescent="0.25">
      <c r="A44" s="337"/>
      <c r="B44" s="223"/>
      <c r="C44" s="223"/>
      <c r="D44" s="224"/>
      <c r="E44" s="224"/>
      <c r="F44" s="223"/>
      <c r="G44" s="225"/>
      <c r="H44" s="226"/>
      <c r="I44" s="224"/>
      <c r="J44" s="223"/>
      <c r="K44" s="227"/>
      <c r="L44" s="257"/>
      <c r="M44" s="258"/>
      <c r="N44" s="223"/>
      <c r="O44" s="223"/>
      <c r="P44" s="229"/>
      <c r="Q44" s="229"/>
      <c r="R44" s="223"/>
      <c r="S44" s="223"/>
      <c r="T44" s="229"/>
      <c r="U44" s="229"/>
      <c r="V44" s="223"/>
      <c r="W44" s="223"/>
      <c r="X44" s="229"/>
      <c r="Y44" s="229"/>
      <c r="Z44" s="223"/>
      <c r="AA44" s="223"/>
      <c r="AB44" s="229"/>
      <c r="AC44" s="229"/>
      <c r="AD44" s="223"/>
      <c r="AE44" s="223"/>
      <c r="AF44" s="224"/>
      <c r="AG44" s="224"/>
      <c r="AH44" s="223"/>
      <c r="AI44" s="223"/>
      <c r="AJ44" s="230"/>
      <c r="AK44" s="231"/>
      <c r="AL44" s="232"/>
      <c r="AM44" s="223"/>
      <c r="AN44" s="229"/>
      <c r="AO44" s="233"/>
      <c r="AP44" s="234"/>
      <c r="AQ44" s="223"/>
      <c r="AR44" s="235"/>
      <c r="AS44" s="231"/>
      <c r="AT44" s="232"/>
      <c r="AU44" s="236"/>
      <c r="AV44" s="237"/>
      <c r="AW44" s="238"/>
      <c r="AX44" s="234"/>
      <c r="AY44" s="236"/>
      <c r="AZ44" s="239"/>
      <c r="BA44" s="238"/>
      <c r="BB44" s="234"/>
      <c r="BC44" s="236"/>
    </row>
    <row r="45" spans="1:55" ht="13.5" thickBot="1" x14ac:dyDescent="0.25">
      <c r="A45" s="340" t="s">
        <v>18</v>
      </c>
      <c r="B45" s="240">
        <f>A4</f>
        <v>0</v>
      </c>
      <c r="C45" s="240">
        <f>A4/A2</f>
        <v>0</v>
      </c>
      <c r="D45" s="53">
        <f>A4</f>
        <v>0</v>
      </c>
      <c r="E45" s="53">
        <f>A4/A2</f>
        <v>0</v>
      </c>
      <c r="F45" s="240">
        <f>A4</f>
        <v>0</v>
      </c>
      <c r="G45" s="241">
        <f>A4/A2</f>
        <v>0</v>
      </c>
      <c r="H45" s="242">
        <f>A4</f>
        <v>0</v>
      </c>
      <c r="I45" s="53">
        <f>A4/A2</f>
        <v>0</v>
      </c>
      <c r="J45" s="240">
        <f>A4</f>
        <v>0</v>
      </c>
      <c r="K45" s="243">
        <f>A4/A2</f>
        <v>0</v>
      </c>
      <c r="L45" s="263"/>
      <c r="M45" s="261"/>
      <c r="N45" s="240">
        <f>SUM(N47:N49)</f>
        <v>0</v>
      </c>
      <c r="O45" s="240">
        <f>SUM(O47:O49)</f>
        <v>0</v>
      </c>
      <c r="P45" s="78">
        <f>A4</f>
        <v>0</v>
      </c>
      <c r="Q45" s="78">
        <f>A4/A2</f>
        <v>0</v>
      </c>
      <c r="R45" s="240">
        <f>A4</f>
        <v>0</v>
      </c>
      <c r="S45" s="240">
        <f>A4/A2</f>
        <v>0</v>
      </c>
      <c r="T45" s="78">
        <f>A4</f>
        <v>0</v>
      </c>
      <c r="U45" s="78">
        <f>A4/A2</f>
        <v>0</v>
      </c>
      <c r="V45" s="240">
        <f>A4-V56</f>
        <v>0</v>
      </c>
      <c r="W45" s="240">
        <f>(A4-W56)/A2</f>
        <v>0</v>
      </c>
      <c r="X45" s="78">
        <f>A4</f>
        <v>0</v>
      </c>
      <c r="Y45" s="78">
        <f>A4/A2</f>
        <v>0</v>
      </c>
      <c r="Z45" s="240">
        <f>A4</f>
        <v>0</v>
      </c>
      <c r="AA45" s="240">
        <f>A4/A2</f>
        <v>0</v>
      </c>
      <c r="AB45" s="78">
        <f>A4</f>
        <v>0</v>
      </c>
      <c r="AC45" s="78">
        <f>A4/A2</f>
        <v>0</v>
      </c>
      <c r="AD45" s="240"/>
      <c r="AE45" s="240"/>
      <c r="AF45" s="53"/>
      <c r="AG45" s="53"/>
      <c r="AH45" s="240">
        <f>A4</f>
        <v>0</v>
      </c>
      <c r="AI45" s="240">
        <f>A4/A2</f>
        <v>0</v>
      </c>
      <c r="AJ45" s="244">
        <f>A4</f>
        <v>0</v>
      </c>
      <c r="AK45" s="245">
        <f>A4/A2</f>
        <v>0</v>
      </c>
      <c r="AL45" s="246">
        <f>A4</f>
        <v>0</v>
      </c>
      <c r="AM45" s="240">
        <f>AL45/A2</f>
        <v>0</v>
      </c>
      <c r="AN45" s="78">
        <f>A4</f>
        <v>0</v>
      </c>
      <c r="AO45" s="121">
        <f>AN45/A2</f>
        <v>0</v>
      </c>
      <c r="AP45" s="247">
        <f>A4</f>
        <v>0</v>
      </c>
      <c r="AQ45" s="240">
        <f>AP45/A2</f>
        <v>0</v>
      </c>
      <c r="AR45" s="248">
        <f>A4</f>
        <v>0</v>
      </c>
      <c r="AS45" s="245">
        <f>AR45/A2</f>
        <v>0</v>
      </c>
      <c r="AT45" s="246">
        <f>A4</f>
        <v>0</v>
      </c>
      <c r="AU45" s="249">
        <f>AT45/A2</f>
        <v>0</v>
      </c>
      <c r="AV45" s="250">
        <f>A4</f>
        <v>0</v>
      </c>
      <c r="AW45" s="251">
        <f>AV45/A2</f>
        <v>0</v>
      </c>
      <c r="AX45" s="247">
        <f>A4</f>
        <v>0</v>
      </c>
      <c r="AY45" s="249">
        <f>A4/A2</f>
        <v>0</v>
      </c>
      <c r="AZ45" s="252">
        <f>A4</f>
        <v>0</v>
      </c>
      <c r="BA45" s="251">
        <f>A4/A2</f>
        <v>0</v>
      </c>
      <c r="BB45" s="247">
        <f>A4</f>
        <v>0</v>
      </c>
      <c r="BC45" s="249">
        <f>A4/A2</f>
        <v>0</v>
      </c>
    </row>
    <row r="46" spans="1:55" x14ac:dyDescent="0.2">
      <c r="A46" s="341" t="s">
        <v>3</v>
      </c>
      <c r="B46" s="163"/>
      <c r="C46" s="163"/>
      <c r="D46" s="38"/>
      <c r="E46" s="38"/>
      <c r="F46" s="163"/>
      <c r="G46" s="174"/>
      <c r="H46" s="209"/>
      <c r="I46" s="38"/>
      <c r="J46" s="163"/>
      <c r="K46" s="180"/>
      <c r="L46" s="262"/>
      <c r="M46" s="83"/>
      <c r="N46" s="163"/>
      <c r="O46" s="163"/>
      <c r="P46" s="65"/>
      <c r="Q46" s="65"/>
      <c r="R46" s="163"/>
      <c r="S46" s="163"/>
      <c r="T46" s="65"/>
      <c r="U46" s="65"/>
      <c r="V46" s="163"/>
      <c r="W46" s="163"/>
      <c r="X46" s="65"/>
      <c r="Y46" s="65"/>
      <c r="Z46" s="163"/>
      <c r="AA46" s="163"/>
      <c r="AB46" s="65"/>
      <c r="AC46" s="65"/>
      <c r="AD46" s="163"/>
      <c r="AE46" s="163"/>
      <c r="AF46" s="38"/>
      <c r="AG46" s="38"/>
      <c r="AH46" s="163"/>
      <c r="AI46" s="163"/>
      <c r="AJ46" s="210"/>
      <c r="AK46" s="57"/>
      <c r="AL46" s="211"/>
      <c r="AM46" s="163"/>
      <c r="AN46" s="65"/>
      <c r="AO46" s="122"/>
      <c r="AP46" s="214"/>
      <c r="AQ46" s="163"/>
      <c r="AR46" s="215"/>
      <c r="AS46" s="57"/>
      <c r="AT46" s="211"/>
      <c r="AU46" s="200"/>
      <c r="AV46" s="217"/>
      <c r="AW46" s="58"/>
      <c r="AX46" s="214"/>
      <c r="AY46" s="200"/>
      <c r="AZ46" s="219"/>
      <c r="BA46" s="58"/>
      <c r="BB46" s="214"/>
      <c r="BC46" s="200"/>
    </row>
    <row r="47" spans="1:55" x14ac:dyDescent="0.2">
      <c r="A47" s="151" t="s">
        <v>47</v>
      </c>
      <c r="B47" s="158">
        <f t="shared" ref="B47:K47" si="13">B45*0.44</f>
        <v>0</v>
      </c>
      <c r="C47" s="158">
        <f t="shared" si="13"/>
        <v>0</v>
      </c>
      <c r="D47" s="8">
        <f t="shared" si="13"/>
        <v>0</v>
      </c>
      <c r="E47" s="8">
        <f t="shared" si="13"/>
        <v>0</v>
      </c>
      <c r="F47" s="158">
        <f t="shared" si="13"/>
        <v>0</v>
      </c>
      <c r="G47" s="172">
        <f t="shared" si="13"/>
        <v>0</v>
      </c>
      <c r="H47" s="130">
        <f>H45*0.44</f>
        <v>0</v>
      </c>
      <c r="I47" s="8">
        <f>I45*0.44</f>
        <v>0</v>
      </c>
      <c r="J47" s="158">
        <f t="shared" si="13"/>
        <v>0</v>
      </c>
      <c r="K47" s="176">
        <f t="shared" si="13"/>
        <v>0</v>
      </c>
      <c r="L47" s="256"/>
      <c r="M47" s="84"/>
      <c r="N47" s="154">
        <f>N23/4</f>
        <v>0</v>
      </c>
      <c r="O47" s="154">
        <f>(A4*0.25)/A2</f>
        <v>0</v>
      </c>
      <c r="P47" s="64"/>
      <c r="Q47" s="64"/>
      <c r="R47" s="154">
        <f>R45/3</f>
        <v>0</v>
      </c>
      <c r="S47" s="154">
        <f>S45/3</f>
        <v>0</v>
      </c>
      <c r="T47" s="64"/>
      <c r="U47" s="64"/>
      <c r="V47" s="158">
        <f>(V45*0.44)*0.25</f>
        <v>0</v>
      </c>
      <c r="W47" s="158">
        <f>(W45*0.44)*0.25</f>
        <v>0</v>
      </c>
      <c r="X47" s="64">
        <f>(X45*0.44)*0.25</f>
        <v>0</v>
      </c>
      <c r="Y47" s="64">
        <f>(Y45*0.44)*0.25</f>
        <v>0</v>
      </c>
      <c r="Z47" s="158"/>
      <c r="AA47" s="158"/>
      <c r="AB47" s="64">
        <f>(AB45*0.44)*0.25</f>
        <v>0</v>
      </c>
      <c r="AC47" s="64">
        <f>(AC45*0.44)*0.25</f>
        <v>0</v>
      </c>
      <c r="AD47" s="158"/>
      <c r="AE47" s="158"/>
      <c r="AF47" s="8"/>
      <c r="AG47" s="8"/>
      <c r="AH47" s="158">
        <f>AH45*0.44</f>
        <v>0</v>
      </c>
      <c r="AI47" s="158">
        <f>AI45*0.44</f>
        <v>0</v>
      </c>
      <c r="AJ47" s="10">
        <f>(AJ45-AJ55)*0.44</f>
        <v>0</v>
      </c>
      <c r="AK47" s="55">
        <f>AJ47/A2</f>
        <v>0</v>
      </c>
      <c r="AL47" s="190">
        <f>(AL45-(AL55+AL56))*0.44</f>
        <v>0</v>
      </c>
      <c r="AM47" s="158">
        <f>AL47/A2</f>
        <v>0</v>
      </c>
      <c r="AN47" s="64">
        <f>(AN45-(AN55+AN56))*0.44</f>
        <v>0</v>
      </c>
      <c r="AO47" s="119">
        <f>AN47/A2</f>
        <v>0</v>
      </c>
      <c r="AP47" s="207">
        <f>(AP45-AP55)*0.44</f>
        <v>0</v>
      </c>
      <c r="AQ47" s="158">
        <f>AP47/A2</f>
        <v>0</v>
      </c>
      <c r="AR47" s="146">
        <f>(AR45-AR55)*0.44</f>
        <v>0</v>
      </c>
      <c r="AS47" s="55">
        <f>AR47/A2</f>
        <v>0</v>
      </c>
      <c r="AT47" s="190">
        <f>(AT45-(AT55+AT56))*0.44</f>
        <v>0</v>
      </c>
      <c r="AU47" s="196">
        <f>AT47/A2</f>
        <v>0</v>
      </c>
      <c r="AV47" s="221">
        <f>(AV45-(AV55+AV56))*0.44</f>
        <v>0</v>
      </c>
      <c r="AW47" s="28">
        <f>AV47/A2</f>
        <v>0</v>
      </c>
      <c r="AX47" s="207">
        <f>(AX45-AX55)*0.44</f>
        <v>0</v>
      </c>
      <c r="AY47" s="196">
        <f>AX47/A2</f>
        <v>0</v>
      </c>
      <c r="AZ47" s="146"/>
      <c r="BA47" s="28"/>
      <c r="BB47" s="207"/>
      <c r="BC47" s="196"/>
    </row>
    <row r="48" spans="1:55" x14ac:dyDescent="0.2">
      <c r="A48" s="336" t="s">
        <v>46</v>
      </c>
      <c r="B48" s="158">
        <f t="shared" ref="B48:K48" si="14">B45*0.56</f>
        <v>0</v>
      </c>
      <c r="C48" s="158">
        <f t="shared" si="14"/>
        <v>0</v>
      </c>
      <c r="D48" s="8">
        <f t="shared" si="14"/>
        <v>0</v>
      </c>
      <c r="E48" s="8">
        <f t="shared" si="14"/>
        <v>0</v>
      </c>
      <c r="F48" s="158">
        <f t="shared" si="14"/>
        <v>0</v>
      </c>
      <c r="G48" s="172">
        <f t="shared" si="14"/>
        <v>0</v>
      </c>
      <c r="H48" s="130">
        <f>H45*0.56</f>
        <v>0</v>
      </c>
      <c r="I48" s="8">
        <f>I45*0.56</f>
        <v>0</v>
      </c>
      <c r="J48" s="158">
        <f t="shared" si="14"/>
        <v>0</v>
      </c>
      <c r="K48" s="176">
        <f t="shared" si="14"/>
        <v>0</v>
      </c>
      <c r="L48" s="256"/>
      <c r="M48" s="84"/>
      <c r="N48" s="154">
        <f>N23/2</f>
        <v>0</v>
      </c>
      <c r="O48" s="154">
        <f>(A4*0.5)/A2</f>
        <v>0</v>
      </c>
      <c r="P48" s="64"/>
      <c r="Q48" s="64"/>
      <c r="R48" s="154">
        <f>R45/3</f>
        <v>0</v>
      </c>
      <c r="S48" s="154">
        <f>S45/3</f>
        <v>0</v>
      </c>
      <c r="T48" s="64"/>
      <c r="U48" s="64"/>
      <c r="V48" s="158">
        <f>(V45*0.56)*0.25</f>
        <v>0</v>
      </c>
      <c r="W48" s="158">
        <f>(W45*0.56)*0.25</f>
        <v>0</v>
      </c>
      <c r="X48" s="64">
        <f>(X45*0.56)*0.25</f>
        <v>0</v>
      </c>
      <c r="Y48" s="64">
        <f>(Y45*0.56)*0.25</f>
        <v>0</v>
      </c>
      <c r="Z48" s="158"/>
      <c r="AA48" s="158"/>
      <c r="AB48" s="64">
        <f>(AB45*0.56)*0.25</f>
        <v>0</v>
      </c>
      <c r="AC48" s="64">
        <f>(AC45*0.56)*0.25</f>
        <v>0</v>
      </c>
      <c r="AD48" s="158">
        <f>A4</f>
        <v>0</v>
      </c>
      <c r="AE48" s="158">
        <f>A4/A2</f>
        <v>0</v>
      </c>
      <c r="AF48" s="8"/>
      <c r="AG48" s="8"/>
      <c r="AH48" s="158">
        <f>AH45*0.56</f>
        <v>0</v>
      </c>
      <c r="AI48" s="158">
        <f>AI45*0.56</f>
        <v>0</v>
      </c>
      <c r="AJ48" s="10">
        <f>(AJ45-AJ55)*0.56</f>
        <v>0</v>
      </c>
      <c r="AK48" s="55">
        <f>AJ48/A2</f>
        <v>0</v>
      </c>
      <c r="AL48" s="190">
        <f>(A4-(AL55+AL56))*0.56</f>
        <v>0</v>
      </c>
      <c r="AM48" s="158">
        <f>AL48/A2</f>
        <v>0</v>
      </c>
      <c r="AN48" s="64">
        <f>(A4-(AN55+AN56))*0.56</f>
        <v>0</v>
      </c>
      <c r="AO48" s="119">
        <f>AN48/A2</f>
        <v>0</v>
      </c>
      <c r="AP48" s="207">
        <f>(AP45-AP55)*0.56</f>
        <v>0</v>
      </c>
      <c r="AQ48" s="158">
        <f>AP48/A2</f>
        <v>0</v>
      </c>
      <c r="AR48" s="146">
        <f>(AR45-AR55)*0.56</f>
        <v>0</v>
      </c>
      <c r="AS48" s="55">
        <f>AR48/A2</f>
        <v>0</v>
      </c>
      <c r="AT48" s="190">
        <f>(A4-(AT55+AT56))*0.56</f>
        <v>0</v>
      </c>
      <c r="AU48" s="196">
        <f>AT48/A2</f>
        <v>0</v>
      </c>
      <c r="AV48" s="221">
        <f>(A4-(AV55+AV56))*0.56</f>
        <v>0</v>
      </c>
      <c r="AW48" s="28">
        <f>AV48/A2</f>
        <v>0</v>
      </c>
      <c r="AX48" s="207">
        <f>(AX45-AX55)*0.56</f>
        <v>0</v>
      </c>
      <c r="AY48" s="196">
        <f>AX48/A2</f>
        <v>0</v>
      </c>
      <c r="AZ48" s="146"/>
      <c r="BA48" s="28"/>
      <c r="BB48" s="207"/>
      <c r="BC48" s="196"/>
    </row>
    <row r="49" spans="1:55" x14ac:dyDescent="0.2">
      <c r="A49" s="151" t="s">
        <v>1</v>
      </c>
      <c r="B49" s="158"/>
      <c r="C49" s="158"/>
      <c r="D49" s="8"/>
      <c r="E49" s="8"/>
      <c r="F49" s="158"/>
      <c r="G49" s="172"/>
      <c r="H49" s="130"/>
      <c r="I49" s="8"/>
      <c r="J49" s="158"/>
      <c r="K49" s="176"/>
      <c r="L49" s="256"/>
      <c r="M49" s="84"/>
      <c r="N49" s="154">
        <f>N23/4</f>
        <v>0</v>
      </c>
      <c r="O49" s="154">
        <f>(A4*0.25)/A2</f>
        <v>0</v>
      </c>
      <c r="P49" s="64"/>
      <c r="Q49" s="64"/>
      <c r="R49" s="158"/>
      <c r="S49" s="158"/>
      <c r="T49" s="64"/>
      <c r="U49" s="64"/>
      <c r="V49" s="158"/>
      <c r="W49" s="158"/>
      <c r="X49" s="64"/>
      <c r="Y49" s="64"/>
      <c r="Z49" s="158"/>
      <c r="AA49" s="158"/>
      <c r="AB49" s="64"/>
      <c r="AC49" s="64"/>
      <c r="AD49" s="158"/>
      <c r="AE49" s="158"/>
      <c r="AF49" s="8"/>
      <c r="AG49" s="8"/>
      <c r="AH49" s="158"/>
      <c r="AI49" s="158"/>
      <c r="AJ49" s="10"/>
      <c r="AK49" s="55"/>
      <c r="AL49" s="190"/>
      <c r="AM49" s="158"/>
      <c r="AN49" s="64"/>
      <c r="AO49" s="119"/>
      <c r="AP49" s="207"/>
      <c r="AQ49" s="158"/>
      <c r="AR49" s="146"/>
      <c r="AS49" s="55"/>
      <c r="AT49" s="190"/>
      <c r="AU49" s="196"/>
      <c r="AV49" s="221"/>
      <c r="AW49" s="28"/>
      <c r="AX49" s="207"/>
      <c r="AY49" s="196"/>
      <c r="AZ49" s="146"/>
      <c r="BA49" s="28"/>
      <c r="BB49" s="207"/>
      <c r="BC49" s="196"/>
    </row>
    <row r="50" spans="1:55" x14ac:dyDescent="0.2">
      <c r="A50" s="151" t="s">
        <v>2</v>
      </c>
      <c r="B50" s="158"/>
      <c r="C50" s="158"/>
      <c r="D50" s="8"/>
      <c r="E50" s="8"/>
      <c r="F50" s="158"/>
      <c r="G50" s="172"/>
      <c r="H50" s="130"/>
      <c r="I50" s="8"/>
      <c r="J50" s="158"/>
      <c r="K50" s="176"/>
      <c r="L50" s="256"/>
      <c r="M50" s="84"/>
      <c r="N50" s="158"/>
      <c r="O50" s="158"/>
      <c r="P50" s="154">
        <f>A4</f>
        <v>0</v>
      </c>
      <c r="Q50" s="154">
        <f>A4/A2</f>
        <v>0</v>
      </c>
      <c r="R50" s="158"/>
      <c r="S50" s="158"/>
      <c r="T50" s="64"/>
      <c r="U50" s="64"/>
      <c r="V50" s="158"/>
      <c r="W50" s="158"/>
      <c r="X50" s="64"/>
      <c r="Y50" s="64"/>
      <c r="Z50" s="158"/>
      <c r="AA50" s="158"/>
      <c r="AB50" s="64"/>
      <c r="AC50" s="64"/>
      <c r="AD50" s="158"/>
      <c r="AE50" s="158"/>
      <c r="AF50" s="8"/>
      <c r="AG50" s="8"/>
      <c r="AH50" s="158"/>
      <c r="AI50" s="158"/>
      <c r="AJ50" s="10"/>
      <c r="AK50" s="55"/>
      <c r="AL50" s="190"/>
      <c r="AM50" s="158"/>
      <c r="AN50" s="64"/>
      <c r="AO50" s="119"/>
      <c r="AP50" s="207"/>
      <c r="AQ50" s="158"/>
      <c r="AR50" s="146"/>
      <c r="AS50" s="55"/>
      <c r="AT50" s="190"/>
      <c r="AU50" s="196"/>
      <c r="AV50" s="221"/>
      <c r="AW50" s="28"/>
      <c r="AX50" s="207"/>
      <c r="AY50" s="196"/>
      <c r="AZ50" s="146"/>
      <c r="BA50" s="28"/>
      <c r="BB50" s="207"/>
      <c r="BC50" s="196"/>
    </row>
    <row r="51" spans="1:55" x14ac:dyDescent="0.2">
      <c r="A51" s="151" t="s">
        <v>103</v>
      </c>
      <c r="B51" s="158"/>
      <c r="C51" s="158"/>
      <c r="D51" s="8"/>
      <c r="E51" s="8"/>
      <c r="F51" s="158"/>
      <c r="G51" s="172"/>
      <c r="H51" s="130"/>
      <c r="I51" s="8"/>
      <c r="J51" s="158"/>
      <c r="K51" s="176"/>
      <c r="L51" s="256"/>
      <c r="M51" s="84"/>
      <c r="N51" s="158"/>
      <c r="O51" s="158"/>
      <c r="P51" s="64"/>
      <c r="Q51" s="64"/>
      <c r="R51" s="154">
        <f>A4/3</f>
        <v>0</v>
      </c>
      <c r="S51" s="154">
        <f>(A4/3)/A2</f>
        <v>0</v>
      </c>
      <c r="T51" s="64"/>
      <c r="U51" s="64"/>
      <c r="V51" s="158"/>
      <c r="W51" s="158"/>
      <c r="X51" s="64"/>
      <c r="Y51" s="64"/>
      <c r="Z51" s="158"/>
      <c r="AA51" s="158"/>
      <c r="AB51" s="64"/>
      <c r="AC51" s="64"/>
      <c r="AD51" s="158"/>
      <c r="AE51" s="158"/>
      <c r="AF51" s="8"/>
      <c r="AG51" s="8"/>
      <c r="AH51" s="158"/>
      <c r="AI51" s="158"/>
      <c r="AJ51" s="10"/>
      <c r="AK51" s="55"/>
      <c r="AL51" s="190"/>
      <c r="AM51" s="158"/>
      <c r="AN51" s="64"/>
      <c r="AO51" s="119"/>
      <c r="AP51" s="207"/>
      <c r="AQ51" s="158"/>
      <c r="AR51" s="146"/>
      <c r="AS51" s="55"/>
      <c r="AT51" s="190"/>
      <c r="AU51" s="196"/>
      <c r="AV51" s="221"/>
      <c r="AW51" s="28"/>
      <c r="AX51" s="207"/>
      <c r="AY51" s="196"/>
      <c r="AZ51" s="146"/>
      <c r="BA51" s="28"/>
      <c r="BB51" s="207"/>
      <c r="BC51" s="196"/>
    </row>
    <row r="52" spans="1:55" x14ac:dyDescent="0.2">
      <c r="A52" s="342" t="s">
        <v>13</v>
      </c>
      <c r="B52" s="158"/>
      <c r="C52" s="158"/>
      <c r="D52" s="8"/>
      <c r="E52" s="8"/>
      <c r="F52" s="158"/>
      <c r="G52" s="172"/>
      <c r="H52" s="130"/>
      <c r="I52" s="8"/>
      <c r="J52" s="158"/>
      <c r="K52" s="176"/>
      <c r="L52" s="256"/>
      <c r="M52" s="84"/>
      <c r="N52" s="158"/>
      <c r="O52" s="158"/>
      <c r="P52" s="64"/>
      <c r="Q52" s="64"/>
      <c r="R52" s="158"/>
      <c r="S52" s="158"/>
      <c r="T52" s="154">
        <f>A4</f>
        <v>0</v>
      </c>
      <c r="U52" s="154">
        <f>A4/A2</f>
        <v>0</v>
      </c>
      <c r="V52" s="154">
        <f>V45*0.75</f>
        <v>0</v>
      </c>
      <c r="W52" s="154">
        <f>W45*0.75</f>
        <v>0</v>
      </c>
      <c r="X52" s="154">
        <f>X45*0.75</f>
        <v>0</v>
      </c>
      <c r="Y52" s="154">
        <f>Y45*0.75</f>
        <v>0</v>
      </c>
      <c r="Z52" s="158"/>
      <c r="AA52" s="158"/>
      <c r="AB52" s="64"/>
      <c r="AC52" s="64"/>
      <c r="AD52" s="158"/>
      <c r="AE52" s="158"/>
      <c r="AF52" s="8"/>
      <c r="AG52" s="8"/>
      <c r="AH52" s="158"/>
      <c r="AI52" s="158"/>
      <c r="AJ52" s="10"/>
      <c r="AK52" s="55"/>
      <c r="AL52" s="190"/>
      <c r="AM52" s="158"/>
      <c r="AN52" s="64"/>
      <c r="AO52" s="119"/>
      <c r="AP52" s="207"/>
      <c r="AQ52" s="158"/>
      <c r="AR52" s="146"/>
      <c r="AS52" s="55"/>
      <c r="AT52" s="190"/>
      <c r="AU52" s="196"/>
      <c r="AV52" s="221"/>
      <c r="AW52" s="28"/>
      <c r="AX52" s="207"/>
      <c r="AY52" s="196"/>
      <c r="AZ52" s="146"/>
      <c r="BA52" s="28"/>
      <c r="BB52" s="207"/>
      <c r="BC52" s="196"/>
    </row>
    <row r="53" spans="1:55" x14ac:dyDescent="0.2">
      <c r="A53" s="342" t="s">
        <v>4</v>
      </c>
      <c r="B53" s="158"/>
      <c r="C53" s="158"/>
      <c r="D53" s="8"/>
      <c r="E53" s="8"/>
      <c r="F53" s="158"/>
      <c r="G53" s="172"/>
      <c r="H53" s="130"/>
      <c r="I53" s="8"/>
      <c r="J53" s="158"/>
      <c r="K53" s="176"/>
      <c r="L53" s="256"/>
      <c r="M53" s="84"/>
      <c r="N53" s="158"/>
      <c r="O53" s="158"/>
      <c r="P53" s="64"/>
      <c r="Q53" s="64"/>
      <c r="R53" s="158"/>
      <c r="S53" s="158"/>
      <c r="T53" s="64"/>
      <c r="U53" s="64"/>
      <c r="V53" s="264"/>
      <c r="W53" s="264"/>
      <c r="X53" s="64"/>
      <c r="Y53" s="64"/>
      <c r="Z53" s="154">
        <f>A4</f>
        <v>0</v>
      </c>
      <c r="AA53" s="154">
        <f>A4/A2</f>
        <v>0</v>
      </c>
      <c r="AB53" s="64"/>
      <c r="AC53" s="64"/>
      <c r="AD53" s="158"/>
      <c r="AE53" s="158"/>
      <c r="AF53" s="8"/>
      <c r="AG53" s="8"/>
      <c r="AH53" s="158"/>
      <c r="AI53" s="158"/>
      <c r="AJ53" s="10"/>
      <c r="AK53" s="55"/>
      <c r="AL53" s="190"/>
      <c r="AM53" s="158"/>
      <c r="AN53" s="64"/>
      <c r="AO53" s="119"/>
      <c r="AP53" s="207"/>
      <c r="AQ53" s="158"/>
      <c r="AR53" s="146"/>
      <c r="AS53" s="55"/>
      <c r="AT53" s="190"/>
      <c r="AU53" s="196"/>
      <c r="AV53" s="221"/>
      <c r="AW53" s="28"/>
      <c r="AX53" s="207"/>
      <c r="AY53" s="196"/>
      <c r="AZ53" s="146"/>
      <c r="BA53" s="28"/>
      <c r="BB53" s="207"/>
      <c r="BC53" s="196"/>
    </row>
    <row r="54" spans="1:55" x14ac:dyDescent="0.2">
      <c r="A54" s="342" t="s">
        <v>71</v>
      </c>
      <c r="B54" s="158"/>
      <c r="C54" s="158"/>
      <c r="D54" s="8"/>
      <c r="E54" s="8"/>
      <c r="F54" s="158"/>
      <c r="G54" s="172"/>
      <c r="H54" s="130"/>
      <c r="I54" s="8"/>
      <c r="J54" s="158"/>
      <c r="K54" s="176"/>
      <c r="L54" s="256"/>
      <c r="M54" s="84"/>
      <c r="N54" s="158"/>
      <c r="O54" s="158"/>
      <c r="P54" s="64"/>
      <c r="Q54" s="64"/>
      <c r="R54" s="158"/>
      <c r="S54" s="158"/>
      <c r="T54" s="64"/>
      <c r="U54" s="64"/>
      <c r="V54" s="264"/>
      <c r="W54" s="264"/>
      <c r="X54" s="64"/>
      <c r="Y54" s="64"/>
      <c r="Z54" s="158"/>
      <c r="AA54" s="158"/>
      <c r="AB54" s="154">
        <f>A4*0.75</f>
        <v>0</v>
      </c>
      <c r="AC54" s="154">
        <f>(A4*0.75)/A2</f>
        <v>0</v>
      </c>
      <c r="AD54" s="158"/>
      <c r="AE54" s="158"/>
      <c r="AF54" s="8"/>
      <c r="AG54" s="8"/>
      <c r="AH54" s="158"/>
      <c r="AI54" s="158"/>
      <c r="AJ54" s="10"/>
      <c r="AK54" s="55"/>
      <c r="AL54" s="190"/>
      <c r="AM54" s="158"/>
      <c r="AN54" s="64"/>
      <c r="AO54" s="119"/>
      <c r="AP54" s="207"/>
      <c r="AQ54" s="158"/>
      <c r="AR54" s="146"/>
      <c r="AS54" s="55"/>
      <c r="AT54" s="190"/>
      <c r="AU54" s="196"/>
      <c r="AV54" s="221"/>
      <c r="AW54" s="28"/>
      <c r="AX54" s="207"/>
      <c r="AY54" s="196"/>
      <c r="AZ54" s="146"/>
      <c r="BA54" s="28"/>
      <c r="BB54" s="207"/>
      <c r="BC54" s="196"/>
    </row>
    <row r="55" spans="1:55" x14ac:dyDescent="0.2">
      <c r="A55" s="342" t="s">
        <v>43</v>
      </c>
      <c r="B55" s="158"/>
      <c r="C55" s="158"/>
      <c r="D55" s="8"/>
      <c r="E55" s="8"/>
      <c r="F55" s="172"/>
      <c r="G55" s="176"/>
      <c r="H55" s="265"/>
      <c r="I55" s="8"/>
      <c r="J55" s="158"/>
      <c r="K55" s="176"/>
      <c r="L55" s="256"/>
      <c r="M55" s="84"/>
      <c r="N55" s="158"/>
      <c r="O55" s="158"/>
      <c r="P55" s="64"/>
      <c r="Q55" s="64"/>
      <c r="R55" s="158"/>
      <c r="S55" s="158"/>
      <c r="T55" s="64"/>
      <c r="U55" s="64"/>
      <c r="V55" s="264"/>
      <c r="W55" s="264"/>
      <c r="X55" s="64"/>
      <c r="Y55" s="64"/>
      <c r="Z55" s="158"/>
      <c r="AA55" s="158"/>
      <c r="AB55" s="64"/>
      <c r="AC55" s="64"/>
      <c r="AD55" s="158"/>
      <c r="AE55" s="158"/>
      <c r="AF55" s="8"/>
      <c r="AG55" s="8"/>
      <c r="AH55" s="158"/>
      <c r="AI55" s="158"/>
      <c r="AJ55" s="154">
        <f>IF(A4=0,0,100)</f>
        <v>0</v>
      </c>
      <c r="AK55" s="266">
        <f>AJ55/A2</f>
        <v>0</v>
      </c>
      <c r="AL55" s="267">
        <f>IF(A4=0,0,100)</f>
        <v>0</v>
      </c>
      <c r="AM55" s="154">
        <f>AL55/A2</f>
        <v>0</v>
      </c>
      <c r="AN55" s="154">
        <f>IF(A4=0,0,100)</f>
        <v>0</v>
      </c>
      <c r="AO55" s="268">
        <f>AN55/A2</f>
        <v>0</v>
      </c>
      <c r="AP55" s="269">
        <f>IF(A4=0,0,100)</f>
        <v>0</v>
      </c>
      <c r="AQ55" s="154">
        <f>AP55/A2</f>
        <v>0</v>
      </c>
      <c r="AR55" s="269">
        <f>IF(A4=0,0,100)</f>
        <v>0</v>
      </c>
      <c r="AS55" s="266">
        <f>AR55/A2</f>
        <v>0</v>
      </c>
      <c r="AT55" s="267">
        <f>IF(A4=0,0,100)</f>
        <v>0</v>
      </c>
      <c r="AU55" s="266">
        <f>AT55/A2</f>
        <v>0</v>
      </c>
      <c r="AV55" s="270">
        <f>IF(A4=0,0,100)</f>
        <v>0</v>
      </c>
      <c r="AW55" s="198">
        <f>AV55/A2</f>
        <v>0</v>
      </c>
      <c r="AX55" s="269">
        <f>IF(A4=0,0,100)</f>
        <v>0</v>
      </c>
      <c r="AY55" s="198">
        <f>AX55/A2</f>
        <v>0</v>
      </c>
      <c r="AZ55" s="146"/>
      <c r="BA55" s="60"/>
      <c r="BB55" s="271"/>
      <c r="BC55" s="196"/>
    </row>
    <row r="56" spans="1:55" x14ac:dyDescent="0.2">
      <c r="A56" s="342" t="s">
        <v>48</v>
      </c>
      <c r="B56" s="272"/>
      <c r="C56" s="272"/>
      <c r="D56" s="151"/>
      <c r="E56" s="151"/>
      <c r="F56" s="273"/>
      <c r="G56" s="275"/>
      <c r="H56" s="274"/>
      <c r="I56" s="151"/>
      <c r="J56" s="272"/>
      <c r="K56" s="275"/>
      <c r="L56" s="276"/>
      <c r="M56" s="277"/>
      <c r="N56" s="272"/>
      <c r="O56" s="272"/>
      <c r="P56" s="278"/>
      <c r="Q56" s="278"/>
      <c r="R56" s="272"/>
      <c r="S56" s="272"/>
      <c r="T56" s="278"/>
      <c r="U56" s="278"/>
      <c r="V56" s="264"/>
      <c r="W56" s="264"/>
      <c r="X56" s="278"/>
      <c r="Y56" s="278"/>
      <c r="Z56" s="272"/>
      <c r="AA56" s="272"/>
      <c r="AB56" s="278"/>
      <c r="AC56" s="278"/>
      <c r="AD56" s="272"/>
      <c r="AE56" s="272"/>
      <c r="AF56" s="151"/>
      <c r="AG56" s="151"/>
      <c r="AH56" s="272"/>
      <c r="AI56" s="272"/>
      <c r="AJ56" s="279"/>
      <c r="AK56" s="280"/>
      <c r="AL56" s="190"/>
      <c r="AM56" s="158"/>
      <c r="AN56" s="154">
        <f>IF(A4=0,0,200)</f>
        <v>0</v>
      </c>
      <c r="AO56" s="266">
        <f>AN56/A2</f>
        <v>0</v>
      </c>
      <c r="AP56" s="281"/>
      <c r="AQ56" s="272"/>
      <c r="AR56" s="279"/>
      <c r="AS56" s="280"/>
      <c r="AT56" s="267">
        <f>IF(A4=0,0,200)</f>
        <v>0</v>
      </c>
      <c r="AU56" s="266">
        <f>AT56/A2</f>
        <v>0</v>
      </c>
      <c r="AV56" s="270">
        <f>IF(A4=0,0,200)</f>
        <v>0</v>
      </c>
      <c r="AW56" s="266">
        <f>AV56/A2</f>
        <v>0</v>
      </c>
      <c r="AX56" s="282"/>
      <c r="AY56" s="273"/>
      <c r="AZ56" s="283"/>
      <c r="BA56" s="280"/>
      <c r="BB56" s="282"/>
      <c r="BC56" s="284"/>
    </row>
    <row r="57" spans="1:55" x14ac:dyDescent="0.2">
      <c r="A57" s="391" t="s">
        <v>95</v>
      </c>
      <c r="B57" s="272"/>
      <c r="C57" s="272"/>
      <c r="D57" s="151"/>
      <c r="E57" s="151"/>
      <c r="F57" s="273"/>
      <c r="G57" s="275"/>
      <c r="H57" s="274"/>
      <c r="I57" s="151"/>
      <c r="J57" s="272"/>
      <c r="K57" s="275"/>
      <c r="L57" s="276"/>
      <c r="M57" s="277"/>
      <c r="N57" s="272"/>
      <c r="O57" s="272"/>
      <c r="P57" s="278"/>
      <c r="Q57" s="278"/>
      <c r="R57" s="272"/>
      <c r="S57" s="272"/>
      <c r="T57" s="278"/>
      <c r="U57" s="278"/>
      <c r="V57" s="264"/>
      <c r="W57" s="264"/>
      <c r="X57" s="278"/>
      <c r="Y57" s="278"/>
      <c r="Z57" s="272"/>
      <c r="AA57" s="272"/>
      <c r="AB57" s="278"/>
      <c r="AC57" s="278"/>
      <c r="AD57" s="272"/>
      <c r="AE57" s="272"/>
      <c r="AF57" s="151"/>
      <c r="AG57" s="151"/>
      <c r="AH57" s="272"/>
      <c r="AI57" s="272"/>
      <c r="AJ57" s="279"/>
      <c r="AK57" s="280"/>
      <c r="AL57" s="190"/>
      <c r="AM57" s="158"/>
      <c r="AN57" s="221"/>
      <c r="AO57" s="60"/>
      <c r="AP57" s="281"/>
      <c r="AQ57" s="272"/>
      <c r="AR57" s="279"/>
      <c r="AS57" s="280"/>
      <c r="AT57" s="190"/>
      <c r="AU57" s="172"/>
      <c r="AV57" s="285"/>
      <c r="AW57" s="60"/>
      <c r="AX57" s="282"/>
      <c r="AY57" s="273"/>
      <c r="AZ57" s="286">
        <f>AZ45</f>
        <v>0</v>
      </c>
      <c r="BA57" s="287">
        <f>BA45</f>
        <v>0</v>
      </c>
      <c r="BB57" s="288"/>
      <c r="BC57" s="289"/>
    </row>
    <row r="58" spans="1:55" ht="13.5" thickBot="1" x14ac:dyDescent="0.25">
      <c r="A58" s="390" t="s">
        <v>97</v>
      </c>
      <c r="B58" s="290"/>
      <c r="C58" s="290"/>
      <c r="D58" s="291"/>
      <c r="E58" s="291"/>
      <c r="F58" s="292"/>
      <c r="G58" s="295"/>
      <c r="H58" s="293"/>
      <c r="I58" s="294"/>
      <c r="J58" s="290"/>
      <c r="K58" s="295"/>
      <c r="L58" s="296"/>
      <c r="M58" s="297"/>
      <c r="N58" s="290"/>
      <c r="O58" s="290"/>
      <c r="P58" s="298"/>
      <c r="Q58" s="298"/>
      <c r="R58" s="290"/>
      <c r="S58" s="290"/>
      <c r="T58" s="291"/>
      <c r="U58" s="291"/>
      <c r="V58" s="299"/>
      <c r="W58" s="299"/>
      <c r="X58" s="291"/>
      <c r="Y58" s="291"/>
      <c r="Z58" s="290"/>
      <c r="AA58" s="290"/>
      <c r="AB58" s="291"/>
      <c r="AC58" s="291"/>
      <c r="AD58" s="290"/>
      <c r="AE58" s="290"/>
      <c r="AF58" s="291"/>
      <c r="AG58" s="291"/>
      <c r="AH58" s="290"/>
      <c r="AI58" s="290"/>
      <c r="AJ58" s="300"/>
      <c r="AK58" s="301"/>
      <c r="AL58" s="302"/>
      <c r="AM58" s="290"/>
      <c r="AN58" s="294"/>
      <c r="AO58" s="303"/>
      <c r="AP58" s="302"/>
      <c r="AQ58" s="290"/>
      <c r="AR58" s="294"/>
      <c r="AS58" s="303"/>
      <c r="AT58" s="302"/>
      <c r="AU58" s="292"/>
      <c r="AV58" s="304"/>
      <c r="AW58" s="301"/>
      <c r="AX58" s="305"/>
      <c r="AY58" s="292"/>
      <c r="AZ58" s="306"/>
      <c r="BA58" s="307"/>
      <c r="BB58" s="308">
        <f>BB45</f>
        <v>0</v>
      </c>
      <c r="BC58" s="309">
        <f>BC45</f>
        <v>0</v>
      </c>
    </row>
    <row r="59" spans="1:55" x14ac:dyDescent="0.2">
      <c r="A59" s="152"/>
    </row>
  </sheetData>
  <mergeCells count="33">
    <mergeCell ref="AZ20:BA20"/>
    <mergeCell ref="BB20:BC20"/>
    <mergeCell ref="AL20:AM20"/>
    <mergeCell ref="AP20:AQ20"/>
    <mergeCell ref="AP19:AW19"/>
    <mergeCell ref="AX19:AY19"/>
    <mergeCell ref="AX20:AY20"/>
    <mergeCell ref="AV20:AW20"/>
    <mergeCell ref="AR20:AS20"/>
    <mergeCell ref="AT20:AU20"/>
    <mergeCell ref="AH20:AI20"/>
    <mergeCell ref="AL19:AO19"/>
    <mergeCell ref="AJ19:AK19"/>
    <mergeCell ref="AF20:AG20"/>
    <mergeCell ref="X20:Y20"/>
    <mergeCell ref="AJ20:AK20"/>
    <mergeCell ref="AN20:AO20"/>
    <mergeCell ref="Z20:AA20"/>
    <mergeCell ref="AD20:AE20"/>
    <mergeCell ref="H19:I19"/>
    <mergeCell ref="J19:K19"/>
    <mergeCell ref="P20:Q20"/>
    <mergeCell ref="B20:C20"/>
    <mergeCell ref="D20:E20"/>
    <mergeCell ref="F20:G20"/>
    <mergeCell ref="J20:K20"/>
    <mergeCell ref="N20:O20"/>
    <mergeCell ref="H20:I20"/>
    <mergeCell ref="V20:W20"/>
    <mergeCell ref="R20:S20"/>
    <mergeCell ref="AB20:AC20"/>
    <mergeCell ref="T20:U20"/>
    <mergeCell ref="L20:M20"/>
  </mergeCells>
  <phoneticPr fontId="0" type="noConversion"/>
  <printOptions horizontalCentered="1" gridLines="1"/>
  <pageMargins left="0.25" right="0.25" top="0.25" bottom="0.25" header="0.5" footer="0.5"/>
  <pageSetup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50"/>
  </sheetPr>
  <dimension ref="A1:BI59"/>
  <sheetViews>
    <sheetView tabSelected="1" zoomScale="70" zoomScaleNormal="70" workbookViewId="0">
      <pane xSplit="1" topLeftCell="B1" activePane="topRight" state="frozen"/>
      <selection pane="topRight" activeCell="C2" sqref="C2"/>
    </sheetView>
  </sheetViews>
  <sheetFormatPr defaultRowHeight="12.75" x14ac:dyDescent="0.2"/>
  <cols>
    <col min="1" max="1" width="64.140625" bestFit="1" customWidth="1"/>
    <col min="2" max="61" width="13.85546875" customWidth="1"/>
  </cols>
  <sheetData>
    <row r="1" spans="1:47" ht="13.15" customHeight="1" thickBot="1" x14ac:dyDescent="0.25">
      <c r="A1" s="16" t="s">
        <v>14</v>
      </c>
    </row>
    <row r="2" spans="1:47" ht="13.5" thickBot="1" x14ac:dyDescent="0.25">
      <c r="A2" s="49">
        <v>2</v>
      </c>
    </row>
    <row r="3" spans="1:47" ht="13.5" thickBot="1" x14ac:dyDescent="0.25">
      <c r="A3" s="16" t="s">
        <v>15</v>
      </c>
      <c r="C3" s="1"/>
      <c r="E3" s="1"/>
      <c r="F3" s="1"/>
      <c r="G3" s="1"/>
      <c r="I3" s="1"/>
      <c r="J3" s="1"/>
      <c r="K3" s="1"/>
      <c r="L3" s="1"/>
      <c r="M3" s="1"/>
      <c r="N3" s="1"/>
      <c r="O3" s="1"/>
      <c r="S3" s="1"/>
      <c r="U3" s="1"/>
      <c r="W3" s="1"/>
      <c r="X3" s="1"/>
      <c r="Y3" s="1"/>
      <c r="Z3" s="1"/>
      <c r="AA3" s="1"/>
      <c r="AC3" s="1"/>
      <c r="AE3" s="1"/>
      <c r="AF3" s="1"/>
      <c r="AN3" s="15"/>
      <c r="AR3" s="1"/>
      <c r="AT3" s="1"/>
    </row>
    <row r="4" spans="1:47" ht="13.5" thickBot="1" x14ac:dyDescent="0.25">
      <c r="A4" s="50">
        <v>500</v>
      </c>
      <c r="C4" s="1"/>
      <c r="E4" s="1"/>
      <c r="F4" s="1"/>
      <c r="G4" s="1"/>
      <c r="I4" s="1"/>
      <c r="J4" s="1"/>
      <c r="K4" s="1"/>
      <c r="L4" s="1"/>
      <c r="M4" s="1"/>
      <c r="N4" s="1"/>
      <c r="O4" s="1"/>
      <c r="S4" s="1"/>
      <c r="U4" s="1"/>
      <c r="W4" s="1"/>
      <c r="X4" s="1"/>
      <c r="Y4" s="1"/>
      <c r="Z4" s="1"/>
      <c r="AA4" s="1"/>
      <c r="AC4" s="1"/>
      <c r="AE4" s="1"/>
      <c r="AF4" s="385"/>
      <c r="AG4" s="386"/>
      <c r="AH4" s="386"/>
      <c r="AI4" s="386"/>
      <c r="AJ4" s="386"/>
      <c r="AK4" s="386"/>
      <c r="AL4" s="386"/>
      <c r="AM4" s="386"/>
      <c r="AR4" s="1"/>
      <c r="AT4" s="1"/>
    </row>
    <row r="5" spans="1:47" hidden="1" x14ac:dyDescent="0.2">
      <c r="A5" s="1" t="s">
        <v>28</v>
      </c>
      <c r="B5" s="2">
        <f>A4*1.075</f>
        <v>537.5</v>
      </c>
      <c r="E5" s="1"/>
      <c r="F5" s="1"/>
      <c r="G5" s="1"/>
      <c r="I5" s="1"/>
      <c r="J5" s="1"/>
      <c r="K5" s="1"/>
      <c r="L5" s="1"/>
      <c r="M5" s="1"/>
      <c r="N5" s="1"/>
      <c r="O5" s="1"/>
      <c r="S5" s="1"/>
      <c r="U5" s="1"/>
      <c r="W5" s="1"/>
      <c r="X5" s="1"/>
      <c r="Y5" s="1"/>
      <c r="Z5" s="1"/>
      <c r="AA5" s="1"/>
      <c r="AC5" s="1"/>
      <c r="AE5" s="1"/>
      <c r="AF5" s="1"/>
      <c r="AR5" s="1"/>
      <c r="AT5" s="1"/>
    </row>
    <row r="6" spans="1:47" hidden="1" x14ac:dyDescent="0.2">
      <c r="A6" s="1" t="s">
        <v>27</v>
      </c>
      <c r="B6" s="2">
        <v>25</v>
      </c>
      <c r="C6" s="1"/>
      <c r="E6" s="1"/>
      <c r="F6" s="1"/>
      <c r="G6" s="1"/>
      <c r="I6" s="1"/>
      <c r="J6" s="1"/>
      <c r="K6" s="1"/>
      <c r="L6" s="1"/>
      <c r="M6" s="1"/>
      <c r="N6" s="1"/>
      <c r="O6" s="1"/>
      <c r="S6" s="1"/>
      <c r="U6" s="1"/>
      <c r="W6" s="1"/>
      <c r="X6" s="1"/>
      <c r="Y6" s="1"/>
      <c r="Z6" s="1"/>
      <c r="AA6" s="1"/>
      <c r="AC6" s="1"/>
      <c r="AE6" s="1"/>
      <c r="AF6" s="1"/>
      <c r="AR6" s="1"/>
      <c r="AT6" s="1"/>
    </row>
    <row r="7" spans="1:47" hidden="1" x14ac:dyDescent="0.2">
      <c r="A7" s="1" t="s">
        <v>66</v>
      </c>
      <c r="B7" s="2">
        <v>25</v>
      </c>
      <c r="C7" s="1"/>
      <c r="E7" s="1"/>
      <c r="F7" s="1"/>
      <c r="G7" s="1"/>
      <c r="I7" s="1"/>
      <c r="J7" s="1"/>
      <c r="K7" s="1"/>
      <c r="L7" s="1"/>
      <c r="M7" s="1"/>
      <c r="N7" s="1"/>
      <c r="O7" s="1"/>
      <c r="S7" s="1"/>
      <c r="U7" s="1"/>
      <c r="W7" s="1"/>
      <c r="X7" s="1"/>
      <c r="Y7" s="1"/>
      <c r="Z7" s="1"/>
      <c r="AA7" s="1"/>
      <c r="AC7" s="1"/>
      <c r="AE7" s="1"/>
      <c r="AF7" s="1"/>
      <c r="AR7" s="1"/>
      <c r="AT7" s="1"/>
    </row>
    <row r="8" spans="1:47" hidden="1" x14ac:dyDescent="0.2">
      <c r="A8" s="1" t="s">
        <v>70</v>
      </c>
      <c r="B8" s="2">
        <v>100</v>
      </c>
      <c r="C8" s="1"/>
      <c r="E8" s="1"/>
      <c r="F8" s="61"/>
      <c r="G8" s="1"/>
      <c r="I8" s="1"/>
      <c r="J8" s="1"/>
      <c r="K8" s="1"/>
      <c r="L8" s="1"/>
      <c r="M8" s="1"/>
      <c r="N8" s="1"/>
      <c r="O8" s="1"/>
      <c r="S8" s="1"/>
      <c r="U8" s="1"/>
      <c r="W8" s="1"/>
      <c r="X8" s="1"/>
      <c r="Y8" s="1"/>
      <c r="Z8" s="1"/>
      <c r="AA8" s="1"/>
      <c r="AC8" s="1"/>
      <c r="AE8" s="1"/>
      <c r="AF8" s="1"/>
      <c r="AR8" s="1"/>
      <c r="AT8" s="1"/>
    </row>
    <row r="9" spans="1:47" hidden="1" x14ac:dyDescent="0.2">
      <c r="A9" s="1" t="s">
        <v>24</v>
      </c>
      <c r="B9" s="2">
        <v>12</v>
      </c>
      <c r="C9" s="1"/>
      <c r="E9" s="1"/>
      <c r="F9" s="1"/>
      <c r="G9" s="1"/>
      <c r="I9" s="1"/>
      <c r="J9" s="1"/>
      <c r="K9" s="1"/>
      <c r="L9" s="1"/>
      <c r="M9" s="1"/>
      <c r="N9" s="1"/>
      <c r="O9" s="1"/>
      <c r="S9" s="1"/>
      <c r="U9" s="1"/>
      <c r="W9" s="1"/>
      <c r="X9" s="1"/>
      <c r="Y9" s="1"/>
      <c r="Z9" s="1"/>
      <c r="AA9" s="1"/>
      <c r="AC9" s="1"/>
      <c r="AE9" s="1"/>
      <c r="AF9" s="1"/>
      <c r="AR9" s="1"/>
      <c r="AT9" s="1"/>
    </row>
    <row r="10" spans="1:47" hidden="1" x14ac:dyDescent="0.2">
      <c r="A10" s="1" t="s">
        <v>23</v>
      </c>
      <c r="B10" s="2">
        <v>150</v>
      </c>
      <c r="C10" s="1">
        <v>100</v>
      </c>
      <c r="E10" s="540">
        <v>2322</v>
      </c>
      <c r="F10" s="1">
        <f>IF(G18 = 2322,120,0)</f>
        <v>0</v>
      </c>
      <c r="G10" s="1">
        <v>120</v>
      </c>
      <c r="I10" s="1"/>
      <c r="J10" s="1"/>
      <c r="K10" s="1"/>
      <c r="L10" s="1"/>
      <c r="M10" s="1"/>
      <c r="N10" s="1"/>
      <c r="O10" s="1"/>
      <c r="S10" s="1"/>
      <c r="U10" s="1"/>
      <c r="W10" s="1"/>
      <c r="X10" s="1"/>
      <c r="Y10" s="1"/>
      <c r="Z10" s="1"/>
      <c r="AA10" s="1"/>
      <c r="AC10" s="1"/>
      <c r="AE10" s="1"/>
      <c r="AF10" s="1"/>
      <c r="AR10" s="1"/>
      <c r="AT10" s="1"/>
    </row>
    <row r="11" spans="1:47" hidden="1" x14ac:dyDescent="0.2">
      <c r="A11" s="1" t="s">
        <v>22</v>
      </c>
      <c r="B11" s="2"/>
      <c r="C11" s="1"/>
      <c r="E11" s="540">
        <v>3126</v>
      </c>
      <c r="F11" s="1">
        <f>IF(G18 = 3126,240,0)</f>
        <v>0</v>
      </c>
      <c r="G11" s="1">
        <v>240</v>
      </c>
      <c r="I11" s="1"/>
      <c r="J11" s="1"/>
      <c r="K11" s="1"/>
      <c r="L11" s="1"/>
      <c r="M11" s="1"/>
      <c r="N11" s="1"/>
      <c r="O11" s="1"/>
      <c r="S11" s="1"/>
      <c r="U11" s="1"/>
      <c r="W11" s="1"/>
      <c r="X11" s="1"/>
      <c r="Y11" s="1"/>
      <c r="Z11" s="1"/>
      <c r="AA11" s="1"/>
      <c r="AC11" s="1"/>
      <c r="AE11" s="1"/>
      <c r="AF11" s="1"/>
      <c r="AR11" s="1"/>
      <c r="AT11" s="1"/>
      <c r="AU11" s="15"/>
    </row>
    <row r="12" spans="1:47" hidden="1" x14ac:dyDescent="0.2">
      <c r="A12" s="1" t="s">
        <v>21</v>
      </c>
      <c r="B12" s="2">
        <v>50</v>
      </c>
      <c r="C12" s="1"/>
      <c r="E12" s="540">
        <v>3907</v>
      </c>
      <c r="F12" s="1">
        <f>IF(G18 = 3907,240,0)</f>
        <v>0</v>
      </c>
      <c r="G12" s="1">
        <v>240</v>
      </c>
      <c r="I12" s="1"/>
      <c r="J12" s="1"/>
      <c r="K12" s="1"/>
      <c r="L12" s="1"/>
      <c r="M12" s="1"/>
      <c r="N12" s="1"/>
      <c r="O12" s="1"/>
      <c r="S12" s="1"/>
      <c r="U12" s="1"/>
      <c r="W12" s="1"/>
      <c r="X12" s="1"/>
      <c r="Y12" s="1"/>
      <c r="Z12" s="1"/>
      <c r="AA12" s="1"/>
      <c r="AC12" s="1"/>
      <c r="AE12" s="1"/>
      <c r="AF12" s="1"/>
      <c r="AR12" s="1"/>
      <c r="AT12" s="1"/>
    </row>
    <row r="13" spans="1:47" hidden="1" x14ac:dyDescent="0.2">
      <c r="A13" s="1" t="s">
        <v>17</v>
      </c>
      <c r="B13" s="2">
        <v>41</v>
      </c>
      <c r="C13" s="1"/>
      <c r="E13" s="540">
        <v>3908</v>
      </c>
      <c r="F13" s="1">
        <f>IF(G18 = 3908,360,0)</f>
        <v>0</v>
      </c>
      <c r="G13" s="1">
        <v>360</v>
      </c>
      <c r="I13" s="1"/>
      <c r="J13" s="1"/>
      <c r="K13" s="1"/>
      <c r="L13" s="1"/>
      <c r="M13" s="1"/>
      <c r="N13" s="1"/>
      <c r="O13" s="1"/>
      <c r="S13" s="1"/>
      <c r="U13" s="1"/>
      <c r="W13" s="1"/>
      <c r="X13" s="1"/>
      <c r="Y13" s="1"/>
      <c r="Z13" s="1"/>
      <c r="AA13" s="1"/>
      <c r="AC13" s="1"/>
      <c r="AE13" s="1"/>
      <c r="AF13" s="1"/>
      <c r="AQ13" s="15"/>
      <c r="AR13" s="1"/>
      <c r="AT13" s="1"/>
    </row>
    <row r="14" spans="1:47" hidden="1" x14ac:dyDescent="0.2">
      <c r="A14" s="1" t="s">
        <v>60</v>
      </c>
      <c r="B14" s="2">
        <v>0</v>
      </c>
      <c r="C14" s="1"/>
      <c r="E14" s="540">
        <v>3909</v>
      </c>
      <c r="F14" s="1">
        <f>IF(G18 = 3909,480,0)</f>
        <v>0</v>
      </c>
      <c r="G14" s="1">
        <v>480</v>
      </c>
      <c r="I14" s="1"/>
      <c r="J14" s="1"/>
      <c r="K14" s="1"/>
      <c r="L14" s="1"/>
      <c r="M14" s="1"/>
      <c r="N14" s="1"/>
      <c r="O14" s="1"/>
      <c r="S14" s="1"/>
      <c r="U14" s="1"/>
      <c r="W14" s="1"/>
      <c r="X14" s="1"/>
      <c r="Y14" s="1"/>
      <c r="Z14" s="1"/>
      <c r="AA14" s="1"/>
      <c r="AC14" s="1"/>
      <c r="AE14" s="1"/>
      <c r="AF14" s="1"/>
      <c r="AN14" s="15"/>
      <c r="AR14" s="1"/>
      <c r="AT14" s="1"/>
    </row>
    <row r="15" spans="1:47" hidden="1" x14ac:dyDescent="0.2">
      <c r="A15" s="1" t="s">
        <v>62</v>
      </c>
      <c r="B15" s="2">
        <v>25</v>
      </c>
      <c r="C15" s="1"/>
      <c r="E15" s="1"/>
      <c r="F15" s="1"/>
      <c r="G15" s="1"/>
      <c r="I15" s="1"/>
      <c r="J15" s="1"/>
      <c r="K15" s="1"/>
      <c r="L15" s="1"/>
      <c r="M15" s="1"/>
      <c r="N15" s="1"/>
      <c r="O15" s="1"/>
      <c r="S15" s="1"/>
      <c r="U15" s="1"/>
      <c r="W15" s="1"/>
      <c r="X15" s="1"/>
      <c r="Y15" s="1"/>
      <c r="Z15" s="1"/>
      <c r="AA15" s="1"/>
      <c r="AC15" s="1"/>
      <c r="AE15" s="1"/>
      <c r="AF15" s="1"/>
      <c r="AR15" s="1"/>
      <c r="AT15" s="1"/>
    </row>
    <row r="16" spans="1:47" ht="13.5" hidden="1" thickBot="1" x14ac:dyDescent="0.25">
      <c r="A16" s="1" t="s">
        <v>78</v>
      </c>
      <c r="B16" s="2">
        <v>150</v>
      </c>
      <c r="C16" s="1"/>
      <c r="E16" s="1"/>
      <c r="F16" s="1"/>
      <c r="G16" s="1"/>
      <c r="I16" s="1"/>
      <c r="J16" s="1"/>
      <c r="K16" s="1"/>
      <c r="L16" s="1"/>
      <c r="M16" s="1"/>
      <c r="N16" s="1"/>
      <c r="O16" s="1"/>
      <c r="S16" s="15"/>
      <c r="U16" s="1"/>
      <c r="W16" s="1"/>
      <c r="X16" s="1"/>
      <c r="Y16" s="1"/>
      <c r="Z16" s="1"/>
      <c r="AA16" s="1"/>
      <c r="AC16" s="1"/>
      <c r="AE16" s="1"/>
      <c r="AF16" s="1"/>
      <c r="AR16" s="1"/>
      <c r="AT16" s="1"/>
    </row>
    <row r="17" spans="1:61" ht="19.5" thickTop="1" thickBot="1" x14ac:dyDescent="0.3">
      <c r="A17" s="1"/>
      <c r="B17" s="2"/>
      <c r="C17" s="1"/>
      <c r="E17" s="1"/>
      <c r="F17" s="622" t="s">
        <v>134</v>
      </c>
      <c r="G17" s="623"/>
      <c r="I17" s="1"/>
      <c r="J17" s="1"/>
      <c r="K17" s="1"/>
      <c r="L17" s="1"/>
      <c r="M17" s="1"/>
      <c r="N17" s="1"/>
      <c r="O17" s="1"/>
      <c r="S17" s="1"/>
      <c r="U17" s="1"/>
      <c r="W17" s="1"/>
      <c r="X17" s="1"/>
      <c r="Y17" s="1"/>
      <c r="Z17" s="1"/>
      <c r="AA17" s="1"/>
      <c r="AC17" s="1"/>
      <c r="AE17" s="1"/>
      <c r="AF17" s="387"/>
      <c r="AG17" s="388"/>
      <c r="AH17" s="612" t="s">
        <v>75</v>
      </c>
      <c r="AI17" s="613"/>
      <c r="AJ17" s="616" t="s">
        <v>91</v>
      </c>
      <c r="AK17" s="617"/>
      <c r="AL17" s="617"/>
      <c r="AM17" s="618"/>
      <c r="AR17" s="1"/>
      <c r="AT17" s="1"/>
    </row>
    <row r="18" spans="1:61" ht="46.15" customHeight="1" thickTop="1" thickBot="1" x14ac:dyDescent="0.25">
      <c r="A18" s="1"/>
      <c r="C18" s="1"/>
      <c r="E18" s="1"/>
      <c r="F18" s="541" t="s">
        <v>133</v>
      </c>
      <c r="G18" s="542"/>
      <c r="I18" s="1"/>
      <c r="J18" s="606" t="s">
        <v>86</v>
      </c>
      <c r="K18" s="607"/>
      <c r="L18" s="606" t="s">
        <v>87</v>
      </c>
      <c r="M18" s="607"/>
      <c r="N18" s="621"/>
      <c r="O18" s="621"/>
      <c r="S18" s="1"/>
      <c r="U18" s="1"/>
      <c r="W18" s="1"/>
      <c r="X18" s="1"/>
      <c r="Y18" s="1"/>
      <c r="Z18" s="1"/>
      <c r="AA18" s="1"/>
      <c r="AC18" s="1"/>
      <c r="AE18" s="1"/>
      <c r="AF18" s="619" t="s">
        <v>39</v>
      </c>
      <c r="AG18" s="619"/>
      <c r="AH18" s="614"/>
      <c r="AI18" s="615"/>
      <c r="AJ18" s="610" t="s">
        <v>89</v>
      </c>
      <c r="AK18" s="611"/>
      <c r="AL18" s="610" t="s">
        <v>90</v>
      </c>
      <c r="AM18" s="611"/>
      <c r="AN18" s="608"/>
      <c r="AO18" s="609"/>
      <c r="AR18" s="1"/>
      <c r="AT18" s="1"/>
    </row>
    <row r="19" spans="1:61" ht="96.6" customHeight="1" thickTop="1" thickBot="1" x14ac:dyDescent="0.25">
      <c r="A19" s="393" t="s">
        <v>73</v>
      </c>
      <c r="B19" s="579" t="s">
        <v>5</v>
      </c>
      <c r="C19" s="579"/>
      <c r="D19" s="580" t="s">
        <v>6</v>
      </c>
      <c r="E19" s="580"/>
      <c r="F19" s="580" t="s">
        <v>135</v>
      </c>
      <c r="G19" s="580"/>
      <c r="H19" s="581" t="s">
        <v>16</v>
      </c>
      <c r="I19" s="582"/>
      <c r="J19" s="584" t="s">
        <v>120</v>
      </c>
      <c r="K19" s="584"/>
      <c r="L19" s="583" t="s">
        <v>120</v>
      </c>
      <c r="M19" s="583"/>
      <c r="N19" s="575" t="s">
        <v>119</v>
      </c>
      <c r="O19" s="576"/>
      <c r="P19" s="582" t="s">
        <v>118</v>
      </c>
      <c r="Q19" s="572"/>
      <c r="R19" s="573" t="s">
        <v>117</v>
      </c>
      <c r="S19" s="574"/>
      <c r="T19" s="571" t="s">
        <v>116</v>
      </c>
      <c r="U19" s="620"/>
      <c r="V19" s="573" t="s">
        <v>8</v>
      </c>
      <c r="W19" s="574"/>
      <c r="X19" s="569" t="s">
        <v>115</v>
      </c>
      <c r="Y19" s="570"/>
      <c r="Z19" s="592" t="s">
        <v>114</v>
      </c>
      <c r="AA19" s="576"/>
      <c r="AB19" s="582" t="s">
        <v>113</v>
      </c>
      <c r="AC19" s="572"/>
      <c r="AD19" s="573" t="s">
        <v>112</v>
      </c>
      <c r="AE19" s="574"/>
      <c r="AF19" s="569" t="s">
        <v>72</v>
      </c>
      <c r="AG19" s="570"/>
      <c r="AH19" s="592" t="s">
        <v>72</v>
      </c>
      <c r="AI19" s="575"/>
      <c r="AJ19" s="605" t="s">
        <v>72</v>
      </c>
      <c r="AK19" s="570"/>
      <c r="AL19" s="592" t="s">
        <v>72</v>
      </c>
      <c r="AM19" s="627"/>
      <c r="AN19" s="625" t="s">
        <v>56</v>
      </c>
      <c r="AO19" s="626"/>
      <c r="AP19" s="592" t="s">
        <v>111</v>
      </c>
      <c r="AQ19" s="576"/>
      <c r="AR19" s="569" t="s">
        <v>67</v>
      </c>
      <c r="AS19" s="570"/>
      <c r="AT19" s="592" t="s">
        <v>10</v>
      </c>
      <c r="AU19" s="576"/>
      <c r="AV19" s="581" t="s">
        <v>132</v>
      </c>
      <c r="AW19" s="581"/>
      <c r="AX19" s="624" t="s">
        <v>59</v>
      </c>
      <c r="AY19" s="624"/>
      <c r="AZ19" s="569" t="s">
        <v>110</v>
      </c>
      <c r="BA19" s="570"/>
      <c r="BB19" s="592" t="s">
        <v>108</v>
      </c>
      <c r="BC19" s="576"/>
      <c r="BD19" s="569" t="s">
        <v>107</v>
      </c>
      <c r="BE19" s="570"/>
      <c r="BF19" s="592" t="s">
        <v>121</v>
      </c>
      <c r="BG19" s="576"/>
      <c r="BH19" s="592" t="s">
        <v>109</v>
      </c>
      <c r="BI19" s="576"/>
    </row>
    <row r="20" spans="1:61" ht="25.5" thickTop="1" thickBot="1" x14ac:dyDescent="0.25">
      <c r="A20" s="394" t="s">
        <v>136</v>
      </c>
      <c r="B20" s="192" t="s">
        <v>37</v>
      </c>
      <c r="C20" s="164" t="s">
        <v>38</v>
      </c>
      <c r="D20" s="4" t="s">
        <v>37</v>
      </c>
      <c r="E20" s="434" t="s">
        <v>38</v>
      </c>
      <c r="F20" s="4" t="s">
        <v>37</v>
      </c>
      <c r="G20" s="434" t="s">
        <v>38</v>
      </c>
      <c r="H20" s="192" t="s">
        <v>37</v>
      </c>
      <c r="I20" s="166" t="s">
        <v>38</v>
      </c>
      <c r="J20" s="140" t="s">
        <v>37</v>
      </c>
      <c r="K20" s="470" t="s">
        <v>38</v>
      </c>
      <c r="L20" s="192" t="s">
        <v>37</v>
      </c>
      <c r="M20" s="182" t="s">
        <v>38</v>
      </c>
      <c r="N20" s="67" t="s">
        <v>37</v>
      </c>
      <c r="O20" s="85" t="s">
        <v>38</v>
      </c>
      <c r="P20" s="192" t="s">
        <v>37</v>
      </c>
      <c r="Q20" s="414" t="s">
        <v>38</v>
      </c>
      <c r="R20" s="67" t="s">
        <v>37</v>
      </c>
      <c r="S20" s="62" t="s">
        <v>38</v>
      </c>
      <c r="T20" s="164" t="s">
        <v>37</v>
      </c>
      <c r="U20" s="414" t="s">
        <v>38</v>
      </c>
      <c r="V20" s="67" t="s">
        <v>37</v>
      </c>
      <c r="W20" s="85" t="s">
        <v>38</v>
      </c>
      <c r="X20" s="192" t="s">
        <v>37</v>
      </c>
      <c r="Y20" s="164" t="s">
        <v>38</v>
      </c>
      <c r="Z20" s="62" t="s">
        <v>37</v>
      </c>
      <c r="AA20" s="85" t="s">
        <v>38</v>
      </c>
      <c r="AB20" s="192" t="s">
        <v>37</v>
      </c>
      <c r="AC20" s="414" t="s">
        <v>38</v>
      </c>
      <c r="AD20" s="67" t="s">
        <v>37</v>
      </c>
      <c r="AE20" s="85" t="s">
        <v>38</v>
      </c>
      <c r="AF20" s="192" t="s">
        <v>37</v>
      </c>
      <c r="AG20" s="414" t="s">
        <v>38</v>
      </c>
      <c r="AH20" s="67" t="s">
        <v>37</v>
      </c>
      <c r="AI20" s="100" t="s">
        <v>38</v>
      </c>
      <c r="AJ20" s="194" t="s">
        <v>37</v>
      </c>
      <c r="AK20" s="414" t="s">
        <v>38</v>
      </c>
      <c r="AL20" s="67" t="s">
        <v>37</v>
      </c>
      <c r="AM20" s="111" t="s">
        <v>38</v>
      </c>
      <c r="AN20" s="351" t="s">
        <v>37</v>
      </c>
      <c r="AO20" s="459" t="s">
        <v>38</v>
      </c>
      <c r="AP20" s="67" t="s">
        <v>37</v>
      </c>
      <c r="AQ20" s="85" t="s">
        <v>38</v>
      </c>
      <c r="AR20" s="192" t="s">
        <v>37</v>
      </c>
      <c r="AS20" s="414" t="s">
        <v>38</v>
      </c>
      <c r="AT20" s="67" t="s">
        <v>37</v>
      </c>
      <c r="AU20" s="85" t="s">
        <v>38</v>
      </c>
      <c r="AV20" s="192" t="s">
        <v>37</v>
      </c>
      <c r="AW20" s="414" t="s">
        <v>38</v>
      </c>
      <c r="AX20" s="67" t="s">
        <v>37</v>
      </c>
      <c r="AY20" s="85" t="s">
        <v>38</v>
      </c>
      <c r="AZ20" s="192" t="s">
        <v>37</v>
      </c>
      <c r="BA20" s="414" t="s">
        <v>38</v>
      </c>
      <c r="BB20" s="67" t="s">
        <v>37</v>
      </c>
      <c r="BC20" s="85" t="s">
        <v>38</v>
      </c>
      <c r="BD20" s="192" t="s">
        <v>37</v>
      </c>
      <c r="BE20" s="414" t="s">
        <v>38</v>
      </c>
      <c r="BF20" s="67" t="s">
        <v>37</v>
      </c>
      <c r="BG20" s="85" t="s">
        <v>38</v>
      </c>
      <c r="BH20" s="67" t="s">
        <v>37</v>
      </c>
      <c r="BI20" s="85" t="s">
        <v>38</v>
      </c>
    </row>
    <row r="21" spans="1:61" ht="13.5" thickTop="1" x14ac:dyDescent="0.2">
      <c r="A21" s="395"/>
      <c r="B21" s="376"/>
      <c r="C21" s="370"/>
      <c r="D21" s="6"/>
      <c r="E21" s="435"/>
      <c r="F21" s="6"/>
      <c r="G21" s="435"/>
      <c r="H21" s="430"/>
      <c r="I21" s="371"/>
      <c r="J21" s="123"/>
      <c r="K21" s="435"/>
      <c r="L21" s="430"/>
      <c r="M21" s="365"/>
      <c r="N21" s="68"/>
      <c r="O21" s="86"/>
      <c r="P21" s="352"/>
      <c r="Q21" s="415"/>
      <c r="R21" s="68"/>
      <c r="S21" s="86"/>
      <c r="T21" s="352"/>
      <c r="U21" s="415"/>
      <c r="V21" s="68"/>
      <c r="W21" s="86"/>
      <c r="X21" s="352"/>
      <c r="Y21" s="404"/>
      <c r="Z21" s="68"/>
      <c r="AA21" s="86"/>
      <c r="AB21" s="352"/>
      <c r="AC21" s="415"/>
      <c r="AD21" s="68"/>
      <c r="AE21" s="86"/>
      <c r="AF21" s="352"/>
      <c r="AG21" s="415"/>
      <c r="AH21" s="68"/>
      <c r="AI21" s="101"/>
      <c r="AJ21" s="360"/>
      <c r="AK21" s="415"/>
      <c r="AL21" s="68"/>
      <c r="AM21" s="112"/>
      <c r="AN21" s="352"/>
      <c r="AO21" s="415"/>
      <c r="AP21" s="68"/>
      <c r="AQ21" s="86"/>
      <c r="AR21" s="352"/>
      <c r="AS21" s="415"/>
      <c r="AT21" s="68"/>
      <c r="AU21" s="86"/>
      <c r="AV21" s="352"/>
      <c r="AW21" s="415"/>
      <c r="AX21" s="68"/>
      <c r="AY21" s="86"/>
      <c r="AZ21" s="352"/>
      <c r="BA21" s="415"/>
      <c r="BB21" s="68"/>
      <c r="BC21" s="86"/>
      <c r="BD21" s="352"/>
      <c r="BE21" s="415"/>
      <c r="BF21" s="68"/>
      <c r="BG21" s="86"/>
      <c r="BH21" s="352"/>
      <c r="BI21" s="415"/>
    </row>
    <row r="22" spans="1:61" x14ac:dyDescent="0.2">
      <c r="A22" s="20" t="s">
        <v>40</v>
      </c>
      <c r="B22" s="377">
        <f>A4+B5+B7+B14</f>
        <v>1062.5</v>
      </c>
      <c r="C22" s="348">
        <f>B22*1.03</f>
        <v>1094.375</v>
      </c>
      <c r="D22" s="18">
        <f>A4+B5+B6+B7+B14</f>
        <v>1087.5</v>
      </c>
      <c r="E22" s="436">
        <f>D22*1.03</f>
        <v>1120.125</v>
      </c>
      <c r="F22" s="18">
        <f>A4+B5+B6+B7+B14+F38</f>
        <v>1087.5</v>
      </c>
      <c r="G22" s="436">
        <f>F22*1.03</f>
        <v>1120.125</v>
      </c>
      <c r="H22" s="353">
        <f>A4+B5+B6+B7+B14</f>
        <v>1087.5</v>
      </c>
      <c r="I22" s="372">
        <f>H22*1.03</f>
        <v>1120.125</v>
      </c>
      <c r="J22" s="124">
        <f>A4+B5+B6+B7+C10+B14</f>
        <v>1187.5</v>
      </c>
      <c r="K22" s="436">
        <f>J22*1.03</f>
        <v>1223.125</v>
      </c>
      <c r="L22" s="353">
        <f>A4+B5+B6+B7+B10+B14</f>
        <v>1237.5</v>
      </c>
      <c r="M22" s="366">
        <f>L22*1.03</f>
        <v>1274.625</v>
      </c>
      <c r="N22" s="69">
        <f>B16</f>
        <v>150</v>
      </c>
      <c r="O22" s="98">
        <f>N22*1.03</f>
        <v>154.5</v>
      </c>
      <c r="P22" s="353">
        <f>A4</f>
        <v>500</v>
      </c>
      <c r="Q22" s="416">
        <f>P22*1.04</f>
        <v>520</v>
      </c>
      <c r="R22" s="80">
        <f>A4+B5+B6+B7+B14</f>
        <v>1087.5</v>
      </c>
      <c r="S22" s="98">
        <f>(R22*1.03)</f>
        <v>1120.125</v>
      </c>
      <c r="T22" s="353">
        <f>A4+B5+B6+B7+B14</f>
        <v>1087.5</v>
      </c>
      <c r="U22" s="416">
        <f>T22*1.03</f>
        <v>1120.125</v>
      </c>
      <c r="V22" s="80">
        <f>A4+B5+B6+B7+B14</f>
        <v>1087.5</v>
      </c>
      <c r="W22" s="98">
        <f>V22*1.03</f>
        <v>1120.125</v>
      </c>
      <c r="X22" s="353">
        <f>A4+B5+B6+B7+B12+B14</f>
        <v>1137.5</v>
      </c>
      <c r="Y22" s="405">
        <f>X22*1.03</f>
        <v>1171.625</v>
      </c>
      <c r="Z22" s="80">
        <f>A4+B5+B6+B7+B14</f>
        <v>1087.5</v>
      </c>
      <c r="AA22" s="98">
        <f>Z22*1.03</f>
        <v>1120.125</v>
      </c>
      <c r="AB22" s="353">
        <f>A4+B5+B6+B7+B14</f>
        <v>1087.5</v>
      </c>
      <c r="AC22" s="416">
        <f>AB22*1.03</f>
        <v>1120.125</v>
      </c>
      <c r="AD22" s="80">
        <f>A4+B5+B6+B7+B14</f>
        <v>1087.5</v>
      </c>
      <c r="AE22" s="98">
        <f>AD22*1.03</f>
        <v>1120.125</v>
      </c>
      <c r="AF22" s="353">
        <f>A4+B5+B6+B7+B8+B9</f>
        <v>1199.5</v>
      </c>
      <c r="AG22" s="416">
        <f>AF22*1.03</f>
        <v>1235.4850000000001</v>
      </c>
      <c r="AH22" s="80">
        <f>A4+B5+B6+B7+B8+B9+B14</f>
        <v>1199.5</v>
      </c>
      <c r="AI22" s="102">
        <f>AH22*1.03</f>
        <v>1235.4850000000001</v>
      </c>
      <c r="AJ22" s="361">
        <f>A4+B5+B6+B7+B8+B9+B14</f>
        <v>1199.5</v>
      </c>
      <c r="AK22" s="416">
        <f>AJ22*1.03</f>
        <v>1235.4850000000001</v>
      </c>
      <c r="AL22" s="428">
        <f>A4+B5+B6+B7+B8+B9+B14+B15</f>
        <v>1224.5</v>
      </c>
      <c r="AM22" s="113">
        <f>AL22*1.03</f>
        <v>1261.2350000000001</v>
      </c>
      <c r="AN22" s="353">
        <f>A4+B5+B7+B14</f>
        <v>1062.5</v>
      </c>
      <c r="AO22" s="416">
        <f>AN22*1.03</f>
        <v>1094.375</v>
      </c>
      <c r="AP22" s="80">
        <f>A4</f>
        <v>500</v>
      </c>
      <c r="AQ22" s="98">
        <f>AP22*1.03</f>
        <v>515</v>
      </c>
      <c r="AR22" s="353">
        <f>B13</f>
        <v>41</v>
      </c>
      <c r="AS22" s="416">
        <f>AR22*1.03</f>
        <v>42.230000000000004</v>
      </c>
      <c r="AT22" s="80">
        <f>A4+B5+B6+B7+B13+B14</f>
        <v>1128.5</v>
      </c>
      <c r="AU22" s="98">
        <f>AT22*1.03</f>
        <v>1162.355</v>
      </c>
      <c r="AV22" s="353">
        <f>A4+B5+B6+B7+B14</f>
        <v>1087.5</v>
      </c>
      <c r="AW22" s="416">
        <f>AV22*1.03</f>
        <v>1120.125</v>
      </c>
      <c r="AX22" s="80">
        <f>A4</f>
        <v>500</v>
      </c>
      <c r="AY22" s="98">
        <f>AX22*1.03</f>
        <v>515</v>
      </c>
      <c r="AZ22" s="353">
        <f>B4+B5+B6+B7+B14</f>
        <v>587.5</v>
      </c>
      <c r="BA22" s="416">
        <f>AZ22*1.03</f>
        <v>605.125</v>
      </c>
      <c r="BB22" s="80">
        <f>A4</f>
        <v>500</v>
      </c>
      <c r="BC22" s="98">
        <f>BB22*1.03</f>
        <v>515</v>
      </c>
      <c r="BD22" s="353">
        <f>A4+B5+B6+B7+B14</f>
        <v>1087.5</v>
      </c>
      <c r="BE22" s="416">
        <f>BD22*1.03</f>
        <v>1120.125</v>
      </c>
      <c r="BF22" s="428">
        <f>A4+B5+B6+B7+B14</f>
        <v>1087.5</v>
      </c>
      <c r="BG22" s="98">
        <f>BF22*1.03</f>
        <v>1120.125</v>
      </c>
      <c r="BH22" s="519">
        <f>A4+D5+D6+D7+D14</f>
        <v>500</v>
      </c>
      <c r="BI22" s="416">
        <f>BH22*1.03</f>
        <v>515</v>
      </c>
    </row>
    <row r="23" spans="1:61" x14ac:dyDescent="0.2">
      <c r="A23" s="20"/>
      <c r="B23" s="378"/>
      <c r="C23" s="153"/>
      <c r="D23" s="7"/>
      <c r="E23" s="437"/>
      <c r="F23" s="7"/>
      <c r="G23" s="437"/>
      <c r="H23" s="431"/>
      <c r="I23" s="168"/>
      <c r="J23" s="125"/>
      <c r="K23" s="437"/>
      <c r="L23" s="431"/>
      <c r="M23" s="175"/>
      <c r="N23" s="70"/>
      <c r="O23" s="87"/>
      <c r="P23" s="204"/>
      <c r="Q23" s="417"/>
      <c r="R23" s="70"/>
      <c r="S23" s="87"/>
      <c r="T23" s="204"/>
      <c r="U23" s="417"/>
      <c r="V23" s="70"/>
      <c r="W23" s="87"/>
      <c r="X23" s="204"/>
      <c r="Y23" s="406"/>
      <c r="Z23" s="70"/>
      <c r="AA23" s="87"/>
      <c r="AB23" s="204"/>
      <c r="AC23" s="417"/>
      <c r="AD23" s="70"/>
      <c r="AE23" s="87"/>
      <c r="AF23" s="204"/>
      <c r="AG23" s="417"/>
      <c r="AH23" s="70"/>
      <c r="AI23" s="103"/>
      <c r="AJ23" s="187"/>
      <c r="AK23" s="417"/>
      <c r="AL23" s="70"/>
      <c r="AM23" s="114"/>
      <c r="AN23" s="204"/>
      <c r="AO23" s="417"/>
      <c r="AP23" s="70"/>
      <c r="AQ23" s="87"/>
      <c r="AR23" s="204"/>
      <c r="AS23" s="417"/>
      <c r="AT23" s="70"/>
      <c r="AU23" s="87"/>
      <c r="AV23" s="204"/>
      <c r="AW23" s="417"/>
      <c r="AX23" s="70"/>
      <c r="AY23" s="87"/>
      <c r="AZ23" s="204"/>
      <c r="BA23" s="417"/>
      <c r="BB23" s="70"/>
      <c r="BC23" s="87"/>
      <c r="BD23" s="204"/>
      <c r="BE23" s="417"/>
      <c r="BF23" s="70"/>
      <c r="BG23" s="87"/>
      <c r="BH23" s="204"/>
      <c r="BI23" s="417"/>
    </row>
    <row r="24" spans="1:61" x14ac:dyDescent="0.2">
      <c r="A24" s="21" t="s">
        <v>58</v>
      </c>
      <c r="B24" s="379"/>
      <c r="C24" s="165">
        <f>C22/A2</f>
        <v>547.1875</v>
      </c>
      <c r="D24" s="17"/>
      <c r="E24" s="438">
        <f>E22/A2</f>
        <v>560.0625</v>
      </c>
      <c r="F24" s="17"/>
      <c r="G24" s="438">
        <f>G22/A2</f>
        <v>560.0625</v>
      </c>
      <c r="H24" s="354"/>
      <c r="I24" s="169">
        <f>I22/A2</f>
        <v>560.0625</v>
      </c>
      <c r="J24" s="126"/>
      <c r="K24" s="438">
        <f>K22/A2</f>
        <v>611.5625</v>
      </c>
      <c r="L24" s="354"/>
      <c r="M24" s="183">
        <f>M22/A2</f>
        <v>637.3125</v>
      </c>
      <c r="N24" s="71"/>
      <c r="O24" s="88">
        <f>O22/A2</f>
        <v>77.25</v>
      </c>
      <c r="P24" s="354"/>
      <c r="Q24" s="195">
        <f>Q22/A2</f>
        <v>260</v>
      </c>
      <c r="R24" s="71"/>
      <c r="S24" s="88">
        <f>S22/A2</f>
        <v>560.0625</v>
      </c>
      <c r="T24" s="354"/>
      <c r="U24" s="195">
        <f>U22/A2</f>
        <v>560.0625</v>
      </c>
      <c r="V24" s="71"/>
      <c r="W24" s="88">
        <f>W22/A2</f>
        <v>560.0625</v>
      </c>
      <c r="X24" s="354"/>
      <c r="Y24" s="407">
        <f>Y22/A2</f>
        <v>585.8125</v>
      </c>
      <c r="Z24" s="71"/>
      <c r="AA24" s="88">
        <f>AA22/A2</f>
        <v>560.0625</v>
      </c>
      <c r="AB24" s="354"/>
      <c r="AC24" s="195">
        <f>AC22/A2</f>
        <v>560.0625</v>
      </c>
      <c r="AD24" s="71"/>
      <c r="AE24" s="88">
        <f>AE22/A2</f>
        <v>560.0625</v>
      </c>
      <c r="AF24" s="354"/>
      <c r="AG24" s="195">
        <f>AG22/A2</f>
        <v>617.74250000000006</v>
      </c>
      <c r="AH24" s="71"/>
      <c r="AI24" s="104">
        <f>AI22/A2</f>
        <v>617.74250000000006</v>
      </c>
      <c r="AJ24" s="362"/>
      <c r="AK24" s="195">
        <f>AK22/A2</f>
        <v>617.74250000000006</v>
      </c>
      <c r="AL24" s="71"/>
      <c r="AM24" s="115">
        <f>AM22/A2</f>
        <v>630.61750000000006</v>
      </c>
      <c r="AN24" s="354"/>
      <c r="AO24" s="195">
        <f>AO22/A2</f>
        <v>547.1875</v>
      </c>
      <c r="AP24" s="71"/>
      <c r="AQ24" s="88">
        <f>AQ22/A2</f>
        <v>257.5</v>
      </c>
      <c r="AR24" s="354"/>
      <c r="AS24" s="195">
        <f>AS26</f>
        <v>21.115000000000002</v>
      </c>
      <c r="AT24" s="71"/>
      <c r="AU24" s="88">
        <f>AU22/A2</f>
        <v>581.17750000000001</v>
      </c>
      <c r="AV24" s="354"/>
      <c r="AW24" s="195">
        <f>AW22/A2</f>
        <v>560.0625</v>
      </c>
      <c r="AX24" s="71"/>
      <c r="AY24" s="88">
        <f>AY22/A2</f>
        <v>257.5</v>
      </c>
      <c r="AZ24" s="354"/>
      <c r="BA24" s="195">
        <f>BA22/A2</f>
        <v>302.5625</v>
      </c>
      <c r="BB24" s="71"/>
      <c r="BC24" s="88">
        <f>BC22/A2</f>
        <v>257.5</v>
      </c>
      <c r="BD24" s="354"/>
      <c r="BE24" s="195">
        <f>BE22/A2</f>
        <v>560.0625</v>
      </c>
      <c r="BF24" s="71"/>
      <c r="BG24" s="88">
        <f>BG22/A2</f>
        <v>560.0625</v>
      </c>
      <c r="BH24" s="354"/>
      <c r="BI24" s="520">
        <f>BI22/A2</f>
        <v>257.5</v>
      </c>
    </row>
    <row r="25" spans="1:61" ht="13.5" thickBot="1" x14ac:dyDescent="0.25">
      <c r="A25" s="42"/>
      <c r="B25" s="380"/>
      <c r="C25" s="160"/>
      <c r="D25" s="19"/>
      <c r="E25" s="439"/>
      <c r="F25" s="19"/>
      <c r="G25" s="439"/>
      <c r="H25" s="429"/>
      <c r="I25" s="170"/>
      <c r="J25" s="127"/>
      <c r="K25" s="439"/>
      <c r="L25" s="429"/>
      <c r="M25" s="178"/>
      <c r="N25" s="72"/>
      <c r="O25" s="89"/>
      <c r="P25" s="202"/>
      <c r="Q25" s="418"/>
      <c r="R25" s="72"/>
      <c r="S25" s="89"/>
      <c r="T25" s="202"/>
      <c r="U25" s="418"/>
      <c r="V25" s="72"/>
      <c r="W25" s="89"/>
      <c r="X25" s="202"/>
      <c r="Y25" s="408"/>
      <c r="Z25" s="72"/>
      <c r="AA25" s="89"/>
      <c r="AB25" s="202"/>
      <c r="AC25" s="418"/>
      <c r="AD25" s="72"/>
      <c r="AE25" s="89"/>
      <c r="AF25" s="202"/>
      <c r="AG25" s="418"/>
      <c r="AH25" s="72"/>
      <c r="AI25" s="105"/>
      <c r="AJ25" s="188"/>
      <c r="AK25" s="418"/>
      <c r="AL25" s="72"/>
      <c r="AM25" s="116"/>
      <c r="AN25" s="202"/>
      <c r="AO25" s="418"/>
      <c r="AP25" s="72"/>
      <c r="AQ25" s="89"/>
      <c r="AR25" s="202"/>
      <c r="AS25" s="418"/>
      <c r="AT25" s="72"/>
      <c r="AU25" s="89"/>
      <c r="AV25" s="202"/>
      <c r="AW25" s="418"/>
      <c r="AX25" s="72"/>
      <c r="AY25" s="89"/>
      <c r="AZ25" s="202"/>
      <c r="BA25" s="418"/>
      <c r="BB25" s="72"/>
      <c r="BC25" s="89"/>
      <c r="BD25" s="202"/>
      <c r="BE25" s="418"/>
      <c r="BF25" s="72"/>
      <c r="BG25" s="89"/>
      <c r="BH25" s="202"/>
      <c r="BI25" s="418"/>
    </row>
    <row r="26" spans="1:61" ht="13.5" thickBot="1" x14ac:dyDescent="0.25">
      <c r="A26" s="44" t="s">
        <v>19</v>
      </c>
      <c r="B26" s="161">
        <f>SUM(B28:B40)</f>
        <v>562.5</v>
      </c>
      <c r="C26" s="161">
        <f>SUM(C27:C40)</f>
        <v>297.1875</v>
      </c>
      <c r="D26" s="41">
        <f t="shared" ref="D26:N26" si="0">SUM(D28:D40)</f>
        <v>587.5</v>
      </c>
      <c r="E26" s="440">
        <f t="shared" si="0"/>
        <v>310.0625</v>
      </c>
      <c r="F26" s="41">
        <f t="shared" si="0"/>
        <v>587.5</v>
      </c>
      <c r="G26" s="440">
        <f t="shared" si="0"/>
        <v>310.0625</v>
      </c>
      <c r="H26" s="432">
        <f t="shared" si="0"/>
        <v>587.5</v>
      </c>
      <c r="I26" s="171">
        <f t="shared" si="0"/>
        <v>310.0625</v>
      </c>
      <c r="J26" s="128">
        <f t="shared" si="0"/>
        <v>687.5</v>
      </c>
      <c r="K26" s="440">
        <f t="shared" si="0"/>
        <v>361.5625</v>
      </c>
      <c r="L26" s="432">
        <f t="shared" si="0"/>
        <v>737.5</v>
      </c>
      <c r="M26" s="179">
        <f t="shared" si="0"/>
        <v>387.3125</v>
      </c>
      <c r="N26" s="73">
        <f t="shared" si="0"/>
        <v>150</v>
      </c>
      <c r="O26" s="467">
        <f>SUM(O28:O37)</f>
        <v>77.25</v>
      </c>
      <c r="P26" s="203"/>
      <c r="Q26" s="419"/>
      <c r="R26" s="73">
        <f>SUM(R28:R40)</f>
        <v>587.5</v>
      </c>
      <c r="S26" s="90">
        <f>SUM(S28:S40)</f>
        <v>310.0625</v>
      </c>
      <c r="T26" s="203">
        <f>SUM(T28:T40)</f>
        <v>587.5</v>
      </c>
      <c r="U26" s="419">
        <f t="shared" ref="U26:AB26" si="1">SUM(U27:U40)</f>
        <v>310.0625</v>
      </c>
      <c r="V26" s="73">
        <f t="shared" si="1"/>
        <v>587.5</v>
      </c>
      <c r="W26" s="90">
        <f t="shared" si="1"/>
        <v>310.0625</v>
      </c>
      <c r="X26" s="203">
        <f t="shared" si="1"/>
        <v>637.5</v>
      </c>
      <c r="Y26" s="409">
        <f t="shared" si="1"/>
        <v>335.8125</v>
      </c>
      <c r="Z26" s="73">
        <f t="shared" si="1"/>
        <v>587.5</v>
      </c>
      <c r="AA26" s="90">
        <f t="shared" si="1"/>
        <v>310.0625</v>
      </c>
      <c r="AB26" s="203">
        <f t="shared" si="1"/>
        <v>587.5</v>
      </c>
      <c r="AC26" s="419">
        <f>SUM(AC28:AC40)</f>
        <v>310.0625</v>
      </c>
      <c r="AD26" s="73">
        <f t="shared" ref="AD26:AI26" si="2">SUM(AD27:AD40)</f>
        <v>587.5</v>
      </c>
      <c r="AE26" s="90">
        <f t="shared" si="2"/>
        <v>310.0625</v>
      </c>
      <c r="AF26" s="203">
        <f t="shared" si="2"/>
        <v>699.5</v>
      </c>
      <c r="AG26" s="419">
        <f t="shared" si="2"/>
        <v>367.74250000000006</v>
      </c>
      <c r="AH26" s="73">
        <f t="shared" si="2"/>
        <v>699.5</v>
      </c>
      <c r="AI26" s="106">
        <f t="shared" si="2"/>
        <v>367.74250000000006</v>
      </c>
      <c r="AJ26" s="189">
        <f>SUM(AH27:AH40)</f>
        <v>699.5</v>
      </c>
      <c r="AK26" s="419">
        <f>SUM(AK27:AK40)</f>
        <v>367.74250000000006</v>
      </c>
      <c r="AL26" s="73">
        <f>SUM(AJ27:AJ40)</f>
        <v>699.5</v>
      </c>
      <c r="AM26" s="117">
        <f>SUM(AM27:AM40)</f>
        <v>368.11750000000006</v>
      </c>
      <c r="AN26" s="203">
        <f>SUM(AN27:AN40)</f>
        <v>562.5</v>
      </c>
      <c r="AO26" s="419">
        <f>SUM(AO27:AO40)</f>
        <v>297.1875</v>
      </c>
      <c r="AP26" s="73"/>
      <c r="AQ26" s="90"/>
      <c r="AR26" s="203">
        <f>SUM(AR27:AR40)</f>
        <v>41</v>
      </c>
      <c r="AS26" s="419">
        <f>SUM(AS27:AS40)</f>
        <v>21.115000000000002</v>
      </c>
      <c r="AT26" s="73">
        <f>SUM(AT27:AT40)</f>
        <v>628.5</v>
      </c>
      <c r="AU26" s="90">
        <f>SUM(AU27:AU40)</f>
        <v>331.17750000000001</v>
      </c>
      <c r="AV26" s="203">
        <f t="shared" ref="AV26:BA26" si="3">SUM(AV28:AV40)</f>
        <v>587.5</v>
      </c>
      <c r="AW26" s="419">
        <f t="shared" si="3"/>
        <v>310.0625</v>
      </c>
      <c r="AX26" s="73">
        <f t="shared" si="3"/>
        <v>0</v>
      </c>
      <c r="AY26" s="90">
        <f t="shared" si="3"/>
        <v>7.5</v>
      </c>
      <c r="AZ26" s="203">
        <f t="shared" si="3"/>
        <v>587.5</v>
      </c>
      <c r="BA26" s="419">
        <f t="shared" si="3"/>
        <v>302.5625</v>
      </c>
      <c r="BB26" s="489"/>
      <c r="BC26" s="486"/>
      <c r="BD26" s="203">
        <f t="shared" ref="BD26:BI26" si="4">SUM(BD27:BD40)</f>
        <v>587.5</v>
      </c>
      <c r="BE26" s="419">
        <f t="shared" si="4"/>
        <v>309.6875</v>
      </c>
      <c r="BF26" s="73">
        <f t="shared" si="4"/>
        <v>587.5</v>
      </c>
      <c r="BG26" s="90">
        <f t="shared" si="4"/>
        <v>310.0625</v>
      </c>
      <c r="BH26" s="489">
        <f t="shared" si="4"/>
        <v>0</v>
      </c>
      <c r="BI26" s="486">
        <f t="shared" si="4"/>
        <v>7.5</v>
      </c>
    </row>
    <row r="27" spans="1:61" x14ac:dyDescent="0.2">
      <c r="A27" s="43" t="s">
        <v>20</v>
      </c>
      <c r="B27" s="381"/>
      <c r="C27" s="162"/>
      <c r="D27" s="5"/>
      <c r="E27" s="441"/>
      <c r="F27" s="5"/>
      <c r="G27" s="441"/>
      <c r="H27" s="433"/>
      <c r="I27" s="167"/>
      <c r="J27" s="129"/>
      <c r="K27" s="441"/>
      <c r="L27" s="433"/>
      <c r="M27" s="181"/>
      <c r="N27" s="74"/>
      <c r="O27" s="91"/>
      <c r="P27" s="201"/>
      <c r="Q27" s="420"/>
      <c r="R27" s="74"/>
      <c r="S27" s="91"/>
      <c r="T27" s="201"/>
      <c r="U27" s="420"/>
      <c r="V27" s="74"/>
      <c r="W27" s="91"/>
      <c r="X27" s="201"/>
      <c r="Y27" s="410"/>
      <c r="Z27" s="74"/>
      <c r="AA27" s="91"/>
      <c r="AB27" s="201"/>
      <c r="AC27" s="420"/>
      <c r="AD27" s="74"/>
      <c r="AE27" s="91"/>
      <c r="AF27" s="201"/>
      <c r="AG27" s="420"/>
      <c r="AH27" s="74"/>
      <c r="AI27" s="107"/>
      <c r="AJ27" s="186"/>
      <c r="AK27" s="420"/>
      <c r="AL27" s="74"/>
      <c r="AM27" s="118"/>
      <c r="AN27" s="201"/>
      <c r="AO27" s="420"/>
      <c r="AP27" s="74"/>
      <c r="AQ27" s="91"/>
      <c r="AR27" s="201"/>
      <c r="AS27" s="420"/>
      <c r="AT27" s="74"/>
      <c r="AU27" s="91"/>
      <c r="AV27" s="201"/>
      <c r="AW27" s="420"/>
      <c r="AX27" s="74"/>
      <c r="AY27" s="91"/>
      <c r="AZ27" s="201"/>
      <c r="BA27" s="420"/>
      <c r="BB27" s="74"/>
      <c r="BC27" s="91"/>
      <c r="BD27" s="201"/>
      <c r="BE27" s="420"/>
      <c r="BF27" s="74"/>
      <c r="BG27" s="91"/>
      <c r="BH27" s="201"/>
      <c r="BI27" s="420"/>
    </row>
    <row r="28" spans="1:61" x14ac:dyDescent="0.2">
      <c r="A28" s="23" t="s">
        <v>34</v>
      </c>
      <c r="B28" s="516"/>
      <c r="C28" s="515">
        <f>(C22-B22)/A2</f>
        <v>15.9375</v>
      </c>
      <c r="D28" s="7"/>
      <c r="E28" s="437">
        <f>(E22-D22)/A2</f>
        <v>16.3125</v>
      </c>
      <c r="F28" s="7"/>
      <c r="G28" s="437">
        <f>(G22-D22)/A2</f>
        <v>16.3125</v>
      </c>
      <c r="H28" s="431"/>
      <c r="I28" s="168">
        <f>(I22-H22)/A2</f>
        <v>16.3125</v>
      </c>
      <c r="J28" s="125"/>
      <c r="K28" s="437">
        <f>(K22-J22)/A2</f>
        <v>17.8125</v>
      </c>
      <c r="L28" s="431"/>
      <c r="M28" s="175">
        <f>(M22-L22)/A2</f>
        <v>18.5625</v>
      </c>
      <c r="N28" s="70"/>
      <c r="O28" s="87">
        <f>(O22-N22)/A2</f>
        <v>2.25</v>
      </c>
      <c r="P28" s="477"/>
      <c r="Q28" s="510">
        <f>Q22/A2</f>
        <v>260</v>
      </c>
      <c r="R28" s="70"/>
      <c r="S28" s="87">
        <f>(S22-R22)/A2</f>
        <v>16.3125</v>
      </c>
      <c r="T28" s="204"/>
      <c r="U28" s="417">
        <f>(U22-T22)/A2</f>
        <v>16.3125</v>
      </c>
      <c r="V28" s="70"/>
      <c r="W28" s="87">
        <f>(W22-V22)/A2</f>
        <v>16.3125</v>
      </c>
      <c r="X28" s="204"/>
      <c r="Y28" s="406">
        <f>(Y22-X22)/A2</f>
        <v>17.0625</v>
      </c>
      <c r="Z28" s="70"/>
      <c r="AA28" s="87">
        <f>(AA22-Z22)/A2</f>
        <v>16.3125</v>
      </c>
      <c r="AB28" s="204"/>
      <c r="AC28" s="417">
        <f>(AC22-AB22)/A2</f>
        <v>16.3125</v>
      </c>
      <c r="AD28" s="70"/>
      <c r="AE28" s="87">
        <f>(AE22-AD22)/A2</f>
        <v>16.3125</v>
      </c>
      <c r="AF28" s="204"/>
      <c r="AG28" s="417">
        <f>(AG22-AF22)/A2</f>
        <v>17.992500000000064</v>
      </c>
      <c r="AH28" s="70"/>
      <c r="AI28" s="103">
        <f>(AI22-AH22)/A2</f>
        <v>17.992500000000064</v>
      </c>
      <c r="AJ28" s="187"/>
      <c r="AK28" s="417">
        <f>(AK22-AJ22)/A2</f>
        <v>17.992500000000064</v>
      </c>
      <c r="AL28" s="70"/>
      <c r="AM28" s="114">
        <f>(AM22-AL22)/A2</f>
        <v>18.367500000000064</v>
      </c>
      <c r="AN28" s="204"/>
      <c r="AO28" s="417">
        <f>(AO22-AN22)/A2</f>
        <v>15.9375</v>
      </c>
      <c r="AP28" s="70"/>
      <c r="AQ28" s="87">
        <f>(AQ22-AP22)/A2</f>
        <v>7.5</v>
      </c>
      <c r="AR28" s="204"/>
      <c r="AS28" s="417">
        <f>(AS22-AR22)/A2</f>
        <v>0.61500000000000199</v>
      </c>
      <c r="AT28" s="70"/>
      <c r="AU28" s="87">
        <f>(AU22-AT22)/A2</f>
        <v>16.927500000000009</v>
      </c>
      <c r="AV28" s="204"/>
      <c r="AW28" s="417">
        <f>(AW22-AV22)/A2</f>
        <v>16.3125</v>
      </c>
      <c r="AX28" s="70"/>
      <c r="AY28" s="87">
        <f>(AY22-AX22)/A2</f>
        <v>7.5</v>
      </c>
      <c r="AZ28" s="204"/>
      <c r="BA28" s="417">
        <f>(BA22-AZ22)/A2</f>
        <v>8.8125</v>
      </c>
      <c r="BB28" s="70"/>
      <c r="BC28" s="87">
        <f>(BC22-BB22)/A2</f>
        <v>7.5</v>
      </c>
      <c r="BD28" s="204"/>
      <c r="BE28" s="417">
        <f>(C22-B22)/A2</f>
        <v>15.9375</v>
      </c>
      <c r="BF28" s="70"/>
      <c r="BG28" s="87">
        <f>(BG22-BF22)/A2</f>
        <v>16.3125</v>
      </c>
      <c r="BH28" s="204"/>
      <c r="BI28" s="417">
        <f>(BI22-BH22)/A2</f>
        <v>7.5</v>
      </c>
    </row>
    <row r="29" spans="1:61" x14ac:dyDescent="0.2">
      <c r="A29" s="24" t="s">
        <v>68</v>
      </c>
      <c r="B29" s="378"/>
      <c r="C29" s="153"/>
      <c r="D29" s="515">
        <f>B6</f>
        <v>25</v>
      </c>
      <c r="E29" s="510">
        <f>B6/A2</f>
        <v>12.5</v>
      </c>
      <c r="F29" s="515">
        <f>B6</f>
        <v>25</v>
      </c>
      <c r="G29" s="510">
        <f>B6/A2</f>
        <v>12.5</v>
      </c>
      <c r="H29" s="446">
        <f>B6</f>
        <v>25</v>
      </c>
      <c r="I29" s="373">
        <f>B6/A2</f>
        <v>12.5</v>
      </c>
      <c r="J29" s="125">
        <f>B6</f>
        <v>25</v>
      </c>
      <c r="K29" s="437">
        <f>B6/A2</f>
        <v>12.5</v>
      </c>
      <c r="L29" s="431">
        <f>B6</f>
        <v>25</v>
      </c>
      <c r="M29" s="175">
        <f>B6/A2</f>
        <v>12.5</v>
      </c>
      <c r="N29" s="70"/>
      <c r="O29" s="87"/>
      <c r="P29" s="204"/>
      <c r="Q29" s="417"/>
      <c r="R29" s="70">
        <f>B6</f>
        <v>25</v>
      </c>
      <c r="S29" s="87">
        <f>B6/A2</f>
        <v>12.5</v>
      </c>
      <c r="T29" s="204">
        <f>B6</f>
        <v>25</v>
      </c>
      <c r="U29" s="417">
        <f>B6/A2</f>
        <v>12.5</v>
      </c>
      <c r="V29" s="70">
        <f>B6</f>
        <v>25</v>
      </c>
      <c r="W29" s="87">
        <f>B6/A2</f>
        <v>12.5</v>
      </c>
      <c r="X29" s="204">
        <f>B6</f>
        <v>25</v>
      </c>
      <c r="Y29" s="406">
        <f>B6/A2</f>
        <v>12.5</v>
      </c>
      <c r="Z29" s="70">
        <f>B6</f>
        <v>25</v>
      </c>
      <c r="AA29" s="87">
        <f>B6/A2</f>
        <v>12.5</v>
      </c>
      <c r="AB29" s="204">
        <f>B6</f>
        <v>25</v>
      </c>
      <c r="AC29" s="417">
        <f>B6/A2</f>
        <v>12.5</v>
      </c>
      <c r="AD29" s="70">
        <f>B6</f>
        <v>25</v>
      </c>
      <c r="AE29" s="87">
        <f>B6/A2</f>
        <v>12.5</v>
      </c>
      <c r="AF29" s="204">
        <f>B6</f>
        <v>25</v>
      </c>
      <c r="AG29" s="417">
        <f>B6/A2</f>
        <v>12.5</v>
      </c>
      <c r="AH29" s="70">
        <f>B6</f>
        <v>25</v>
      </c>
      <c r="AI29" s="103">
        <f>B6/A2</f>
        <v>12.5</v>
      </c>
      <c r="AJ29" s="187">
        <f>B6</f>
        <v>25</v>
      </c>
      <c r="AK29" s="417">
        <f>B6/A2</f>
        <v>12.5</v>
      </c>
      <c r="AL29" s="70">
        <f>B6</f>
        <v>25</v>
      </c>
      <c r="AM29" s="114">
        <f>D6/A2</f>
        <v>0</v>
      </c>
      <c r="AN29" s="204"/>
      <c r="AO29" s="417"/>
      <c r="AP29" s="458"/>
      <c r="AQ29" s="457"/>
      <c r="AR29" s="204"/>
      <c r="AS29" s="417"/>
      <c r="AT29" s="477">
        <f>B6</f>
        <v>25</v>
      </c>
      <c r="AU29" s="478">
        <f>B6/A2</f>
        <v>12.5</v>
      </c>
      <c r="AV29" s="477">
        <f>B6</f>
        <v>25</v>
      </c>
      <c r="AW29" s="488">
        <f>B6/A2</f>
        <v>12.5</v>
      </c>
      <c r="AX29" s="479"/>
      <c r="AY29" s="494"/>
      <c r="AZ29" s="204">
        <f>B6</f>
        <v>25</v>
      </c>
      <c r="BA29" s="422">
        <f>B6/A2</f>
        <v>12.5</v>
      </c>
      <c r="BB29" s="400"/>
      <c r="BC29" s="350"/>
      <c r="BD29" s="204">
        <f>B6</f>
        <v>25</v>
      </c>
      <c r="BE29" s="417">
        <f>B6/A2</f>
        <v>12.5</v>
      </c>
      <c r="BF29" s="70">
        <f>B6</f>
        <v>25</v>
      </c>
      <c r="BG29" s="476">
        <f>B6/A2</f>
        <v>12.5</v>
      </c>
      <c r="BH29" s="477"/>
      <c r="BI29" s="488"/>
    </row>
    <row r="30" spans="1:61" x14ac:dyDescent="0.2">
      <c r="A30" s="24" t="s">
        <v>29</v>
      </c>
      <c r="B30" s="378">
        <f>B7</f>
        <v>25</v>
      </c>
      <c r="C30" s="153">
        <f>B30/A2</f>
        <v>12.5</v>
      </c>
      <c r="D30" s="7">
        <f>B7</f>
        <v>25</v>
      </c>
      <c r="E30" s="437">
        <f>B7/A2</f>
        <v>12.5</v>
      </c>
      <c r="F30" s="7">
        <f>B7</f>
        <v>25</v>
      </c>
      <c r="G30" s="437">
        <f>B7/A2</f>
        <v>12.5</v>
      </c>
      <c r="H30" s="446">
        <f>B7</f>
        <v>25</v>
      </c>
      <c r="I30" s="373">
        <f>B7/A2</f>
        <v>12.5</v>
      </c>
      <c r="J30" s="125">
        <f>B7</f>
        <v>25</v>
      </c>
      <c r="K30" s="437">
        <f>B7/A2</f>
        <v>12.5</v>
      </c>
      <c r="L30" s="431">
        <f>B7</f>
        <v>25</v>
      </c>
      <c r="M30" s="175">
        <f>B7/A2</f>
        <v>12.5</v>
      </c>
      <c r="N30" s="70"/>
      <c r="O30" s="87"/>
      <c r="P30" s="204"/>
      <c r="Q30" s="417"/>
      <c r="R30" s="70">
        <f>B7</f>
        <v>25</v>
      </c>
      <c r="S30" s="87">
        <f>B7/A2</f>
        <v>12.5</v>
      </c>
      <c r="T30" s="204">
        <f>B7</f>
        <v>25</v>
      </c>
      <c r="U30" s="417">
        <f>B7/A2</f>
        <v>12.5</v>
      </c>
      <c r="V30" s="70">
        <f>B7</f>
        <v>25</v>
      </c>
      <c r="W30" s="87">
        <f>B7/A2</f>
        <v>12.5</v>
      </c>
      <c r="X30" s="204">
        <f>B7</f>
        <v>25</v>
      </c>
      <c r="Y30" s="406">
        <f>B7/A2</f>
        <v>12.5</v>
      </c>
      <c r="Z30" s="70">
        <f>B7</f>
        <v>25</v>
      </c>
      <c r="AA30" s="87">
        <f>B7/A2</f>
        <v>12.5</v>
      </c>
      <c r="AB30" s="204">
        <f>B7</f>
        <v>25</v>
      </c>
      <c r="AC30" s="417">
        <f>B7/A2</f>
        <v>12.5</v>
      </c>
      <c r="AD30" s="70">
        <f>B7</f>
        <v>25</v>
      </c>
      <c r="AE30" s="87">
        <f>B7/A2</f>
        <v>12.5</v>
      </c>
      <c r="AF30" s="204">
        <f>B7</f>
        <v>25</v>
      </c>
      <c r="AG30" s="417">
        <f>B7/A2</f>
        <v>12.5</v>
      </c>
      <c r="AH30" s="70">
        <f>B7</f>
        <v>25</v>
      </c>
      <c r="AI30" s="103">
        <f>B7/A2</f>
        <v>12.5</v>
      </c>
      <c r="AJ30" s="187">
        <f>B7</f>
        <v>25</v>
      </c>
      <c r="AK30" s="417">
        <f>B7/A2</f>
        <v>12.5</v>
      </c>
      <c r="AL30" s="70">
        <f>B7</f>
        <v>25</v>
      </c>
      <c r="AM30" s="135">
        <f>B7/A2</f>
        <v>12.5</v>
      </c>
      <c r="AN30" s="204">
        <f>B7</f>
        <v>25</v>
      </c>
      <c r="AO30" s="417">
        <f>B7/A2</f>
        <v>12.5</v>
      </c>
      <c r="AP30" s="458"/>
      <c r="AQ30" s="457"/>
      <c r="AR30" s="204"/>
      <c r="AS30" s="417"/>
      <c r="AT30" s="477">
        <f>B7</f>
        <v>25</v>
      </c>
      <c r="AU30" s="478">
        <f>B7/A2</f>
        <v>12.5</v>
      </c>
      <c r="AV30" s="477">
        <f>B7</f>
        <v>25</v>
      </c>
      <c r="AW30" s="488">
        <f>B7/A2</f>
        <v>12.5</v>
      </c>
      <c r="AX30" s="479"/>
      <c r="AY30" s="494"/>
      <c r="AZ30" s="204">
        <f>B7</f>
        <v>25</v>
      </c>
      <c r="BA30" s="422">
        <f>B7/A2</f>
        <v>12.5</v>
      </c>
      <c r="BB30" s="400"/>
      <c r="BC30" s="350"/>
      <c r="BD30" s="204">
        <f>B7</f>
        <v>25</v>
      </c>
      <c r="BE30" s="417">
        <f>B7/A2</f>
        <v>12.5</v>
      </c>
      <c r="BF30" s="70">
        <f>B7</f>
        <v>25</v>
      </c>
      <c r="BG30" s="87">
        <f>B7/A2</f>
        <v>12.5</v>
      </c>
      <c r="BH30" s="477"/>
      <c r="BI30" s="478"/>
    </row>
    <row r="31" spans="1:61" x14ac:dyDescent="0.2">
      <c r="A31" s="24" t="s">
        <v>81</v>
      </c>
      <c r="B31" s="378"/>
      <c r="C31" s="153"/>
      <c r="D31" s="7"/>
      <c r="E31" s="437"/>
      <c r="F31" s="7"/>
      <c r="G31" s="437"/>
      <c r="H31" s="431"/>
      <c r="I31" s="168"/>
      <c r="J31" s="125"/>
      <c r="K31" s="437"/>
      <c r="L31" s="431"/>
      <c r="M31" s="175"/>
      <c r="N31" s="70"/>
      <c r="O31" s="87"/>
      <c r="P31" s="204"/>
      <c r="Q31" s="417"/>
      <c r="R31" s="70"/>
      <c r="S31" s="87"/>
      <c r="T31" s="204"/>
      <c r="U31" s="417"/>
      <c r="V31" s="70"/>
      <c r="W31" s="87"/>
      <c r="X31" s="204"/>
      <c r="Y31" s="406"/>
      <c r="Z31" s="70"/>
      <c r="AA31" s="87"/>
      <c r="AB31" s="204"/>
      <c r="AC31" s="417"/>
      <c r="AD31" s="70"/>
      <c r="AE31" s="87"/>
      <c r="AF31" s="479">
        <f>B8</f>
        <v>100</v>
      </c>
      <c r="AG31" s="478">
        <f>B8/A2</f>
        <v>50</v>
      </c>
      <c r="AH31" s="479">
        <f>B8</f>
        <v>100</v>
      </c>
      <c r="AI31" s="504">
        <f>B8/A2</f>
        <v>50</v>
      </c>
      <c r="AJ31" s="505">
        <f>B8</f>
        <v>100</v>
      </c>
      <c r="AK31" s="478">
        <f>B8/A2</f>
        <v>50</v>
      </c>
      <c r="AL31" s="477">
        <f>B8</f>
        <v>100</v>
      </c>
      <c r="AM31" s="503">
        <f>B8/A2</f>
        <v>50</v>
      </c>
      <c r="AN31" s="204"/>
      <c r="AO31" s="417"/>
      <c r="AP31" s="70"/>
      <c r="AQ31" s="87"/>
      <c r="AR31" s="204"/>
      <c r="AS31" s="417"/>
      <c r="AT31" s="70"/>
      <c r="AU31" s="87"/>
      <c r="AV31" s="204"/>
      <c r="AW31" s="417"/>
      <c r="AX31" s="70"/>
      <c r="AY31" s="87"/>
      <c r="AZ31" s="204"/>
      <c r="BA31" s="417"/>
      <c r="BB31" s="70"/>
      <c r="BC31" s="87"/>
      <c r="BD31" s="204"/>
      <c r="BE31" s="417"/>
      <c r="BF31" s="70"/>
      <c r="BG31" s="87"/>
      <c r="BH31" s="204"/>
      <c r="BI31" s="417"/>
    </row>
    <row r="32" spans="1:61" x14ac:dyDescent="0.2">
      <c r="A32" s="24" t="s">
        <v>31</v>
      </c>
      <c r="B32" s="378"/>
      <c r="C32" s="153"/>
      <c r="D32" s="7"/>
      <c r="E32" s="437"/>
      <c r="F32" s="7"/>
      <c r="G32" s="437"/>
      <c r="H32" s="431"/>
      <c r="I32" s="168"/>
      <c r="J32" s="125"/>
      <c r="K32" s="437"/>
      <c r="L32" s="431"/>
      <c r="M32" s="175"/>
      <c r="N32" s="70"/>
      <c r="O32" s="87"/>
      <c r="P32" s="204"/>
      <c r="Q32" s="417"/>
      <c r="R32" s="70"/>
      <c r="S32" s="87"/>
      <c r="T32" s="204"/>
      <c r="U32" s="417"/>
      <c r="V32" s="70"/>
      <c r="W32" s="87"/>
      <c r="X32" s="204"/>
      <c r="Y32" s="406"/>
      <c r="Z32" s="70"/>
      <c r="AA32" s="87"/>
      <c r="AB32" s="204"/>
      <c r="AC32" s="417"/>
      <c r="AD32" s="70"/>
      <c r="AE32" s="87"/>
      <c r="AF32" s="479">
        <f>B9</f>
        <v>12</v>
      </c>
      <c r="AG32" s="478">
        <f>B9/A2</f>
        <v>6</v>
      </c>
      <c r="AH32" s="479">
        <f>B9</f>
        <v>12</v>
      </c>
      <c r="AI32" s="504">
        <f>B9/A2</f>
        <v>6</v>
      </c>
      <c r="AJ32" s="505">
        <f>B9</f>
        <v>12</v>
      </c>
      <c r="AK32" s="478">
        <f>B9/A2</f>
        <v>6</v>
      </c>
      <c r="AL32" s="477">
        <f>B9</f>
        <v>12</v>
      </c>
      <c r="AM32" s="503">
        <f>B9/A2</f>
        <v>6</v>
      </c>
      <c r="AN32" s="204"/>
      <c r="AO32" s="417"/>
      <c r="AP32" s="70"/>
      <c r="AQ32" s="87"/>
      <c r="AR32" s="204"/>
      <c r="AS32" s="417"/>
      <c r="AT32" s="70"/>
      <c r="AU32" s="87"/>
      <c r="AV32" s="204"/>
      <c r="AW32" s="417"/>
      <c r="AX32" s="70"/>
      <c r="AY32" s="87"/>
      <c r="AZ32" s="204"/>
      <c r="BA32" s="417"/>
      <c r="BB32" s="70"/>
      <c r="BC32" s="87"/>
      <c r="BD32" s="204"/>
      <c r="BE32" s="417"/>
      <c r="BF32" s="70"/>
      <c r="BG32" s="87"/>
      <c r="BH32" s="204"/>
      <c r="BI32" s="417"/>
    </row>
    <row r="33" spans="1:61" x14ac:dyDescent="0.2">
      <c r="A33" s="24" t="s">
        <v>88</v>
      </c>
      <c r="B33" s="378"/>
      <c r="C33" s="153"/>
      <c r="D33" s="7"/>
      <c r="E33" s="437"/>
      <c r="F33" s="7"/>
      <c r="G33" s="437"/>
      <c r="H33" s="431"/>
      <c r="I33" s="168"/>
      <c r="J33" s="141">
        <f>C10</f>
        <v>100</v>
      </c>
      <c r="K33" s="442">
        <f>C10/A2</f>
        <v>50</v>
      </c>
      <c r="L33" s="513">
        <f>B10</f>
        <v>150</v>
      </c>
      <c r="M33" s="514">
        <f>B10/A2</f>
        <v>75</v>
      </c>
      <c r="N33" s="70"/>
      <c r="O33" s="87"/>
      <c r="P33" s="204"/>
      <c r="Q33" s="417"/>
      <c r="R33" s="70"/>
      <c r="S33" s="87"/>
      <c r="T33" s="204"/>
      <c r="U33" s="417"/>
      <c r="V33" s="70"/>
      <c r="W33" s="87"/>
      <c r="X33" s="204"/>
      <c r="Y33" s="406"/>
      <c r="Z33" s="70"/>
      <c r="AA33" s="87"/>
      <c r="AB33" s="204"/>
      <c r="AC33" s="417"/>
      <c r="AD33" s="70"/>
      <c r="AE33" s="87"/>
      <c r="AF33" s="204"/>
      <c r="AG33" s="417"/>
      <c r="AH33" s="70"/>
      <c r="AI33" s="103"/>
      <c r="AJ33" s="187"/>
      <c r="AK33" s="417"/>
      <c r="AL33" s="70"/>
      <c r="AM33" s="114"/>
      <c r="AN33" s="204"/>
      <c r="AO33" s="417"/>
      <c r="AP33" s="70"/>
      <c r="AQ33" s="87"/>
      <c r="AR33" s="204"/>
      <c r="AS33" s="417"/>
      <c r="AT33" s="70"/>
      <c r="AU33" s="87"/>
      <c r="AV33" s="204"/>
      <c r="AW33" s="417"/>
      <c r="AX33" s="70"/>
      <c r="AY33" s="87"/>
      <c r="AZ33" s="204"/>
      <c r="BA33" s="417"/>
      <c r="BB33" s="70"/>
      <c r="BC33" s="87"/>
      <c r="BD33" s="204"/>
      <c r="BE33" s="417"/>
      <c r="BF33" s="70"/>
      <c r="BG33" s="87"/>
      <c r="BH33" s="204"/>
      <c r="BI33" s="417"/>
    </row>
    <row r="34" spans="1:61" x14ac:dyDescent="0.2">
      <c r="A34" s="24" t="s">
        <v>42</v>
      </c>
      <c r="B34" s="378"/>
      <c r="C34" s="153"/>
      <c r="D34" s="7"/>
      <c r="E34" s="437"/>
      <c r="F34" s="7"/>
      <c r="G34" s="437"/>
      <c r="H34" s="431"/>
      <c r="I34" s="168"/>
      <c r="J34" s="125"/>
      <c r="K34" s="437"/>
      <c r="L34" s="431"/>
      <c r="M34" s="175"/>
      <c r="N34" s="70"/>
      <c r="O34" s="87"/>
      <c r="P34" s="204"/>
      <c r="Q34" s="417"/>
      <c r="R34" s="70"/>
      <c r="S34" s="87"/>
      <c r="T34" s="204"/>
      <c r="U34" s="417"/>
      <c r="V34" s="70"/>
      <c r="W34" s="87"/>
      <c r="X34" s="479">
        <f>B12</f>
        <v>50</v>
      </c>
      <c r="Y34" s="508">
        <f>X34/A2</f>
        <v>25</v>
      </c>
      <c r="Z34" s="70"/>
      <c r="AA34" s="87"/>
      <c r="AB34" s="204"/>
      <c r="AC34" s="417"/>
      <c r="AD34" s="70"/>
      <c r="AE34" s="87"/>
      <c r="AF34" s="204"/>
      <c r="AG34" s="417"/>
      <c r="AH34" s="70"/>
      <c r="AI34" s="103"/>
      <c r="AJ34" s="187"/>
      <c r="AK34" s="417"/>
      <c r="AL34" s="70"/>
      <c r="AM34" s="114"/>
      <c r="AN34" s="204"/>
      <c r="AO34" s="417"/>
      <c r="AP34" s="70"/>
      <c r="AQ34" s="87"/>
      <c r="AR34" s="204"/>
      <c r="AS34" s="417"/>
      <c r="AT34" s="70"/>
      <c r="AU34" s="87"/>
      <c r="AV34" s="204"/>
      <c r="AW34" s="417"/>
      <c r="AX34" s="70"/>
      <c r="AY34" s="87"/>
      <c r="AZ34" s="204"/>
      <c r="BA34" s="417"/>
      <c r="BB34" s="70"/>
      <c r="BC34" s="87"/>
      <c r="BD34" s="204"/>
      <c r="BE34" s="417"/>
      <c r="BF34" s="70"/>
      <c r="BG34" s="87"/>
      <c r="BH34" s="204"/>
      <c r="BI34" s="417"/>
    </row>
    <row r="35" spans="1:61" x14ac:dyDescent="0.2">
      <c r="A35" s="32" t="s">
        <v>63</v>
      </c>
      <c r="B35" s="382"/>
      <c r="C35" s="158"/>
      <c r="D35" s="10"/>
      <c r="E35" s="28"/>
      <c r="F35" s="10"/>
      <c r="G35" s="28"/>
      <c r="H35" s="207"/>
      <c r="I35" s="172"/>
      <c r="J35" s="137"/>
      <c r="K35" s="28"/>
      <c r="L35" s="207"/>
      <c r="M35" s="176"/>
      <c r="N35" s="75"/>
      <c r="O35" s="92"/>
      <c r="P35" s="207"/>
      <c r="Q35" s="196"/>
      <c r="R35" s="75"/>
      <c r="S35" s="92"/>
      <c r="T35" s="207"/>
      <c r="U35" s="196"/>
      <c r="V35" s="75"/>
      <c r="W35" s="92"/>
      <c r="X35" s="207"/>
      <c r="Y35" s="464"/>
      <c r="Z35" s="75"/>
      <c r="AA35" s="92"/>
      <c r="AB35" s="207"/>
      <c r="AC35" s="196"/>
      <c r="AD35" s="75"/>
      <c r="AE35" s="92"/>
      <c r="AF35" s="207"/>
      <c r="AG35" s="196"/>
      <c r="AH35" s="75"/>
      <c r="AI35" s="108"/>
      <c r="AJ35" s="134"/>
      <c r="AK35" s="97"/>
      <c r="AL35" s="495">
        <f>B15</f>
        <v>25</v>
      </c>
      <c r="AM35" s="500">
        <f>B15/A2</f>
        <v>12.5</v>
      </c>
      <c r="AN35" s="207"/>
      <c r="AO35" s="196"/>
      <c r="AP35" s="75"/>
      <c r="AQ35" s="92"/>
      <c r="AR35" s="207"/>
      <c r="AS35" s="196"/>
      <c r="AT35" s="75"/>
      <c r="AU35" s="92"/>
      <c r="AV35" s="207"/>
      <c r="AW35" s="196"/>
      <c r="AX35" s="75"/>
      <c r="AY35" s="92"/>
      <c r="AZ35" s="207"/>
      <c r="BA35" s="196"/>
      <c r="BB35" s="75"/>
      <c r="BC35" s="92"/>
      <c r="BD35" s="207"/>
      <c r="BE35" s="196"/>
      <c r="BF35" s="75"/>
      <c r="BG35" s="92"/>
      <c r="BH35" s="207"/>
      <c r="BI35" s="196"/>
    </row>
    <row r="36" spans="1:61" x14ac:dyDescent="0.2">
      <c r="A36" s="33" t="s">
        <v>35</v>
      </c>
      <c r="B36" s="382"/>
      <c r="C36" s="158"/>
      <c r="D36" s="8"/>
      <c r="E36" s="443"/>
      <c r="F36" s="8"/>
      <c r="G36" s="443"/>
      <c r="H36" s="207"/>
      <c r="I36" s="172"/>
      <c r="J36" s="130"/>
      <c r="K36" s="443"/>
      <c r="L36" s="207"/>
      <c r="M36" s="176"/>
      <c r="N36" s="75"/>
      <c r="O36" s="92"/>
      <c r="P36" s="207"/>
      <c r="Q36" s="196"/>
      <c r="R36" s="75"/>
      <c r="S36" s="92"/>
      <c r="T36" s="207"/>
      <c r="U36" s="196"/>
      <c r="V36" s="75"/>
      <c r="W36" s="92"/>
      <c r="X36" s="207"/>
      <c r="Y36" s="411"/>
      <c r="Z36" s="75"/>
      <c r="AA36" s="92"/>
      <c r="AB36" s="207"/>
      <c r="AC36" s="196"/>
      <c r="AD36" s="75"/>
      <c r="AE36" s="92"/>
      <c r="AF36" s="207"/>
      <c r="AG36" s="196"/>
      <c r="AH36" s="75"/>
      <c r="AI36" s="108"/>
      <c r="AJ36" s="190"/>
      <c r="AK36" s="196"/>
      <c r="AL36" s="75"/>
      <c r="AM36" s="119"/>
      <c r="AN36" s="207"/>
      <c r="AO36" s="196"/>
      <c r="AP36" s="75"/>
      <c r="AQ36" s="92"/>
      <c r="AR36" s="495">
        <f>B13</f>
        <v>41</v>
      </c>
      <c r="AS36" s="484">
        <f>B13/A2</f>
        <v>20.5</v>
      </c>
      <c r="AT36" s="495">
        <f>B13</f>
        <v>41</v>
      </c>
      <c r="AU36" s="484">
        <f>AT36/A2</f>
        <v>20.5</v>
      </c>
      <c r="AV36" s="207"/>
      <c r="AW36" s="196"/>
      <c r="AX36" s="75"/>
      <c r="AY36" s="92"/>
      <c r="AZ36" s="207"/>
      <c r="BA36" s="196"/>
      <c r="BB36" s="75"/>
      <c r="BC36" s="92"/>
      <c r="BD36" s="207"/>
      <c r="BE36" s="196"/>
      <c r="BF36" s="75"/>
      <c r="BG36" s="92"/>
      <c r="BH36" s="207"/>
      <c r="BI36" s="196"/>
    </row>
    <row r="37" spans="1:61" x14ac:dyDescent="0.2">
      <c r="A37" s="34" t="s">
        <v>79</v>
      </c>
      <c r="B37" s="383"/>
      <c r="C37" s="159"/>
      <c r="D37" s="29"/>
      <c r="E37" s="444"/>
      <c r="F37" s="29"/>
      <c r="G37" s="444"/>
      <c r="H37" s="208"/>
      <c r="I37" s="173"/>
      <c r="J37" s="131"/>
      <c r="K37" s="444"/>
      <c r="L37" s="208"/>
      <c r="M37" s="177"/>
      <c r="N37" s="511">
        <f>B16</f>
        <v>150</v>
      </c>
      <c r="O37" s="512">
        <f>B16/A2</f>
        <v>75</v>
      </c>
      <c r="P37" s="208"/>
      <c r="Q37" s="199"/>
      <c r="R37" s="401"/>
      <c r="S37" s="93"/>
      <c r="T37" s="208"/>
      <c r="U37" s="199"/>
      <c r="V37" s="401"/>
      <c r="W37" s="93"/>
      <c r="X37" s="208"/>
      <c r="Y37" s="412"/>
      <c r="Z37" s="401"/>
      <c r="AA37" s="93"/>
      <c r="AB37" s="208"/>
      <c r="AC37" s="199"/>
      <c r="AD37" s="401"/>
      <c r="AE37" s="93"/>
      <c r="AF37" s="208"/>
      <c r="AG37" s="199"/>
      <c r="AH37" s="401"/>
      <c r="AI37" s="109"/>
      <c r="AJ37" s="191"/>
      <c r="AK37" s="199"/>
      <c r="AL37" s="401"/>
      <c r="AM37" s="120"/>
      <c r="AN37" s="208"/>
      <c r="AO37" s="199"/>
      <c r="AP37" s="401"/>
      <c r="AQ37" s="93"/>
      <c r="AR37" s="208"/>
      <c r="AS37" s="199"/>
      <c r="AT37" s="401"/>
      <c r="AU37" s="93"/>
      <c r="AV37" s="208"/>
      <c r="AW37" s="199"/>
      <c r="AX37" s="401"/>
      <c r="AY37" s="93"/>
      <c r="AZ37" s="208"/>
      <c r="BA37" s="199"/>
      <c r="BB37" s="401"/>
      <c r="BC37" s="93"/>
      <c r="BD37" s="208"/>
      <c r="BE37" s="199"/>
      <c r="BF37" s="401"/>
      <c r="BG37" s="93"/>
      <c r="BH37" s="208"/>
      <c r="BI37" s="199"/>
    </row>
    <row r="38" spans="1:61" ht="15.75" x14ac:dyDescent="0.25">
      <c r="A38" s="543" t="s">
        <v>134</v>
      </c>
      <c r="B38" s="566"/>
      <c r="C38" s="567"/>
      <c r="D38" s="568"/>
      <c r="E38" s="550"/>
      <c r="F38" s="549">
        <f>F10+F11+F12+F13+F14</f>
        <v>0</v>
      </c>
      <c r="G38" s="550">
        <f>F38/A2</f>
        <v>0</v>
      </c>
      <c r="H38" s="527"/>
      <c r="I38" s="528"/>
      <c r="J38" s="529"/>
      <c r="K38" s="526"/>
      <c r="L38" s="527"/>
      <c r="M38" s="530"/>
      <c r="N38" s="531"/>
      <c r="O38" s="532"/>
      <c r="P38" s="527"/>
      <c r="Q38" s="533"/>
      <c r="R38" s="534"/>
      <c r="S38" s="535"/>
      <c r="T38" s="527"/>
      <c r="U38" s="533"/>
      <c r="V38" s="534"/>
      <c r="W38" s="535"/>
      <c r="X38" s="527"/>
      <c r="Y38" s="536"/>
      <c r="Z38" s="534"/>
      <c r="AA38" s="535"/>
      <c r="AB38" s="527"/>
      <c r="AC38" s="533"/>
      <c r="AD38" s="534"/>
      <c r="AE38" s="535"/>
      <c r="AF38" s="527"/>
      <c r="AG38" s="533"/>
      <c r="AH38" s="534"/>
      <c r="AI38" s="537"/>
      <c r="AJ38" s="538"/>
      <c r="AK38" s="533"/>
      <c r="AL38" s="534"/>
      <c r="AM38" s="539"/>
      <c r="AN38" s="527"/>
      <c r="AO38" s="533"/>
      <c r="AP38" s="534"/>
      <c r="AQ38" s="535"/>
      <c r="AR38" s="527"/>
      <c r="AS38" s="533"/>
      <c r="AT38" s="534"/>
      <c r="AU38" s="535"/>
      <c r="AV38" s="527"/>
      <c r="AW38" s="533"/>
      <c r="AX38" s="534"/>
      <c r="AY38" s="535"/>
      <c r="AZ38" s="527"/>
      <c r="BA38" s="533"/>
      <c r="BB38" s="534"/>
      <c r="BC38" s="535"/>
      <c r="BD38" s="527"/>
      <c r="BE38" s="533"/>
      <c r="BF38" s="534"/>
      <c r="BG38" s="535"/>
      <c r="BH38" s="527"/>
      <c r="BI38" s="533"/>
    </row>
    <row r="39" spans="1:61" ht="13.5" thickBot="1" x14ac:dyDescent="0.25">
      <c r="A39" s="36"/>
      <c r="B39" s="380"/>
      <c r="C39" s="160"/>
      <c r="D39" s="19"/>
      <c r="E39" s="439"/>
      <c r="F39" s="19"/>
      <c r="G39" s="439"/>
      <c r="H39" s="429"/>
      <c r="I39" s="170"/>
      <c r="J39" s="127"/>
      <c r="K39" s="439"/>
      <c r="L39" s="429"/>
      <c r="M39" s="178"/>
      <c r="N39" s="72"/>
      <c r="O39" s="89"/>
      <c r="P39" s="202"/>
      <c r="Q39" s="418"/>
      <c r="R39" s="72"/>
      <c r="S39" s="89"/>
      <c r="T39" s="202"/>
      <c r="U39" s="418"/>
      <c r="V39" s="72"/>
      <c r="W39" s="89"/>
      <c r="X39" s="202"/>
      <c r="Y39" s="408"/>
      <c r="Z39" s="72"/>
      <c r="AA39" s="89"/>
      <c r="AB39" s="202"/>
      <c r="AC39" s="418"/>
      <c r="AD39" s="72"/>
      <c r="AE39" s="89"/>
      <c r="AF39" s="202"/>
      <c r="AG39" s="418"/>
      <c r="AH39" s="72"/>
      <c r="AI39" s="105"/>
      <c r="AJ39" s="188"/>
      <c r="AK39" s="418"/>
      <c r="AL39" s="72"/>
      <c r="AM39" s="116"/>
      <c r="AN39" s="202"/>
      <c r="AO39" s="418"/>
      <c r="AP39" s="72"/>
      <c r="AQ39" s="89"/>
      <c r="AR39" s="202"/>
      <c r="AS39" s="418"/>
      <c r="AT39" s="72"/>
      <c r="AU39" s="89"/>
      <c r="AV39" s="202"/>
      <c r="AW39" s="418"/>
      <c r="AX39" s="72"/>
      <c r="AY39" s="89"/>
      <c r="AZ39" s="202"/>
      <c r="BA39" s="418"/>
      <c r="BB39" s="72"/>
      <c r="BC39" s="89"/>
      <c r="BD39" s="202"/>
      <c r="BE39" s="418"/>
      <c r="BF39" s="72"/>
      <c r="BG39" s="89"/>
      <c r="BH39" s="202"/>
      <c r="BI39" s="418"/>
    </row>
    <row r="40" spans="1:61" ht="13.5" thickBot="1" x14ac:dyDescent="0.25">
      <c r="A40" s="39" t="s">
        <v>32</v>
      </c>
      <c r="B40" s="161">
        <f>A4*1.075</f>
        <v>537.5</v>
      </c>
      <c r="C40" s="161">
        <f>(A4*1.075)/A2</f>
        <v>268.75</v>
      </c>
      <c r="D40" s="40">
        <f>A4*1.075</f>
        <v>537.5</v>
      </c>
      <c r="E40" s="440">
        <f>(A4*1.075)/A2</f>
        <v>268.75</v>
      </c>
      <c r="F40" s="40">
        <f>A4*1.075</f>
        <v>537.5</v>
      </c>
      <c r="G40" s="440">
        <f>(A4*1.075)/A2</f>
        <v>268.75</v>
      </c>
      <c r="H40" s="473">
        <f>A4*1.075</f>
        <v>537.5</v>
      </c>
      <c r="I40" s="375">
        <f>(A4*1.075)/A2</f>
        <v>268.75</v>
      </c>
      <c r="J40" s="138">
        <f>A4*1.075</f>
        <v>537.5</v>
      </c>
      <c r="K40" s="440">
        <f>(A4*1.075)/A2</f>
        <v>268.75</v>
      </c>
      <c r="L40" s="468">
        <f>A4*1.075</f>
        <v>537.5</v>
      </c>
      <c r="M40" s="179">
        <f>(A4*1.075)/A2</f>
        <v>268.75</v>
      </c>
      <c r="N40" s="76"/>
      <c r="O40" s="90"/>
      <c r="P40" s="203"/>
      <c r="Q40" s="419"/>
      <c r="R40" s="76">
        <f>A4*1.075</f>
        <v>537.5</v>
      </c>
      <c r="S40" s="90">
        <f>(A4*1.075)/A2</f>
        <v>268.75</v>
      </c>
      <c r="T40" s="203">
        <f>A4*1.075</f>
        <v>537.5</v>
      </c>
      <c r="U40" s="419">
        <f>(A4*1.075)/A2</f>
        <v>268.75</v>
      </c>
      <c r="V40" s="76">
        <f>A4*1.075</f>
        <v>537.5</v>
      </c>
      <c r="W40" s="90">
        <f>(A4*1.075)/A2</f>
        <v>268.75</v>
      </c>
      <c r="X40" s="463">
        <f>A4*1.075</f>
        <v>537.5</v>
      </c>
      <c r="Y40" s="409">
        <f>(A4*1.075)/A2</f>
        <v>268.75</v>
      </c>
      <c r="Z40" s="76">
        <f>A4*1.075</f>
        <v>537.5</v>
      </c>
      <c r="AA40" s="90">
        <f>(A4*1.075)/A2</f>
        <v>268.75</v>
      </c>
      <c r="AB40" s="463">
        <f>A4*1.075</f>
        <v>537.5</v>
      </c>
      <c r="AC40" s="419">
        <f>(A4*1.075)/A2</f>
        <v>268.75</v>
      </c>
      <c r="AD40" s="76">
        <f>A4*1.075</f>
        <v>537.5</v>
      </c>
      <c r="AE40" s="90">
        <f>(A4*1.075)/A2</f>
        <v>268.75</v>
      </c>
      <c r="AF40" s="203">
        <f>A4*1.075</f>
        <v>537.5</v>
      </c>
      <c r="AG40" s="419">
        <f>(A4*1.075)/A2</f>
        <v>268.75</v>
      </c>
      <c r="AH40" s="73">
        <f>A4*1.075</f>
        <v>537.5</v>
      </c>
      <c r="AI40" s="106">
        <f>(A4*1.075)/A2</f>
        <v>268.75</v>
      </c>
      <c r="AJ40" s="189">
        <f>A4*1.075</f>
        <v>537.5</v>
      </c>
      <c r="AK40" s="419">
        <f>(A4*1.075)/A2</f>
        <v>268.75</v>
      </c>
      <c r="AL40" s="73">
        <f>A4*1.075</f>
        <v>537.5</v>
      </c>
      <c r="AM40" s="117">
        <f>(A4*1.075)/A2</f>
        <v>268.75</v>
      </c>
      <c r="AN40" s="203">
        <f>A4*1.075</f>
        <v>537.5</v>
      </c>
      <c r="AO40" s="419">
        <f>(A4*1.075)/A2</f>
        <v>268.75</v>
      </c>
      <c r="AP40" s="73"/>
      <c r="AQ40" s="90"/>
      <c r="AR40" s="203"/>
      <c r="AS40" s="419"/>
      <c r="AT40" s="73">
        <f>A4*1.075</f>
        <v>537.5</v>
      </c>
      <c r="AU40" s="90">
        <f>(A4*1.075)/A2</f>
        <v>268.75</v>
      </c>
      <c r="AV40" s="452">
        <f>A4*1.075</f>
        <v>537.5</v>
      </c>
      <c r="AW40" s="450">
        <f>(A4*1.075)/A2</f>
        <v>268.75</v>
      </c>
      <c r="AX40" s="480">
        <v>0</v>
      </c>
      <c r="AY40" s="481">
        <v>0</v>
      </c>
      <c r="AZ40" s="452">
        <f>A4*1.075</f>
        <v>537.5</v>
      </c>
      <c r="BA40" s="450">
        <f>(A4*1.075)/A2</f>
        <v>268.75</v>
      </c>
      <c r="BB40" s="480">
        <v>0</v>
      </c>
      <c r="BC40" s="481">
        <v>0</v>
      </c>
      <c r="BD40" s="463">
        <f>A4*1.075</f>
        <v>537.5</v>
      </c>
      <c r="BE40" s="419">
        <f>(A4*1.075)/A2</f>
        <v>268.75</v>
      </c>
      <c r="BF40" s="76">
        <f>A4*1.075</f>
        <v>537.5</v>
      </c>
      <c r="BG40" s="90">
        <f>(A4*1.075)/A2</f>
        <v>268.75</v>
      </c>
      <c r="BH40" s="485"/>
      <c r="BI40" s="486"/>
    </row>
    <row r="41" spans="1:61" x14ac:dyDescent="0.2">
      <c r="A41" s="37" t="s">
        <v>69</v>
      </c>
      <c r="B41" s="381">
        <f t="shared" ref="B41:I41" si="5">B40*0.1116</f>
        <v>59.984999999999999</v>
      </c>
      <c r="C41" s="163">
        <f>C40*0.1116</f>
        <v>29.9925</v>
      </c>
      <c r="D41" s="5">
        <f>D40*0.1116</f>
        <v>59.984999999999999</v>
      </c>
      <c r="E41" s="445">
        <f t="shared" si="5"/>
        <v>29.9925</v>
      </c>
      <c r="F41" s="5">
        <f>F40*0.1116</f>
        <v>59.984999999999999</v>
      </c>
      <c r="G41" s="445">
        <f t="shared" ref="G41" si="6">G40*0.1116</f>
        <v>29.9925</v>
      </c>
      <c r="H41" s="517">
        <f t="shared" si="5"/>
        <v>59.984999999999999</v>
      </c>
      <c r="I41" s="518">
        <f t="shared" si="5"/>
        <v>29.9925</v>
      </c>
      <c r="J41" s="129">
        <f>J40*0.1116</f>
        <v>59.984999999999999</v>
      </c>
      <c r="K41" s="445">
        <f>K40*0.1116</f>
        <v>29.9925</v>
      </c>
      <c r="L41" s="433">
        <f>L40*0.1116</f>
        <v>59.984999999999999</v>
      </c>
      <c r="M41" s="180">
        <f>M40*0.1116</f>
        <v>29.9925</v>
      </c>
      <c r="N41" s="74"/>
      <c r="O41" s="425"/>
      <c r="P41" s="201"/>
      <c r="Q41" s="420"/>
      <c r="R41" s="74">
        <f t="shared" ref="R41:AI41" si="7">R40*0.1116</f>
        <v>59.984999999999999</v>
      </c>
      <c r="S41" s="425">
        <f t="shared" si="7"/>
        <v>29.9925</v>
      </c>
      <c r="T41" s="201">
        <f t="shared" si="7"/>
        <v>59.984999999999999</v>
      </c>
      <c r="U41" s="200">
        <f t="shared" si="7"/>
        <v>29.9925</v>
      </c>
      <c r="V41" s="74">
        <f t="shared" si="7"/>
        <v>59.984999999999999</v>
      </c>
      <c r="W41" s="425">
        <f t="shared" si="7"/>
        <v>29.9925</v>
      </c>
      <c r="X41" s="201">
        <f t="shared" si="7"/>
        <v>59.984999999999999</v>
      </c>
      <c r="Y41" s="413">
        <f t="shared" si="7"/>
        <v>29.9925</v>
      </c>
      <c r="Z41" s="74">
        <f t="shared" si="7"/>
        <v>59.984999999999999</v>
      </c>
      <c r="AA41" s="425">
        <f t="shared" si="7"/>
        <v>29.9925</v>
      </c>
      <c r="AB41" s="201">
        <f t="shared" si="7"/>
        <v>59.984999999999999</v>
      </c>
      <c r="AC41" s="200">
        <f t="shared" si="7"/>
        <v>29.9925</v>
      </c>
      <c r="AD41" s="74">
        <f t="shared" si="7"/>
        <v>59.984999999999999</v>
      </c>
      <c r="AE41" s="425">
        <f t="shared" si="7"/>
        <v>29.9925</v>
      </c>
      <c r="AF41" s="201">
        <f t="shared" si="7"/>
        <v>59.984999999999999</v>
      </c>
      <c r="AG41" s="200">
        <f t="shared" si="7"/>
        <v>29.9925</v>
      </c>
      <c r="AH41" s="74">
        <f t="shared" si="7"/>
        <v>59.984999999999999</v>
      </c>
      <c r="AI41" s="110">
        <f t="shared" si="7"/>
        <v>29.9925</v>
      </c>
      <c r="AJ41" s="186">
        <f t="shared" ref="AJ41:AO41" si="8">AJ40*0.1116</f>
        <v>59.984999999999999</v>
      </c>
      <c r="AK41" s="200">
        <f t="shared" si="8"/>
        <v>29.9925</v>
      </c>
      <c r="AL41" s="74">
        <f t="shared" si="8"/>
        <v>59.984999999999999</v>
      </c>
      <c r="AM41" s="122">
        <f t="shared" si="8"/>
        <v>29.9925</v>
      </c>
      <c r="AN41" s="201">
        <f t="shared" si="8"/>
        <v>59.984999999999999</v>
      </c>
      <c r="AO41" s="200">
        <f t="shared" si="8"/>
        <v>29.9925</v>
      </c>
      <c r="AP41" s="402"/>
      <c r="AQ41" s="423"/>
      <c r="AR41" s="201"/>
      <c r="AS41" s="426"/>
      <c r="AT41" s="74">
        <f t="shared" ref="AT41:AY41" si="9">AT40*0.1116</f>
        <v>59.984999999999999</v>
      </c>
      <c r="AU41" s="425">
        <f t="shared" si="9"/>
        <v>29.9925</v>
      </c>
      <c r="AV41" s="433">
        <f t="shared" si="9"/>
        <v>59.984999999999999</v>
      </c>
      <c r="AW41" s="200">
        <f t="shared" si="9"/>
        <v>29.9925</v>
      </c>
      <c r="AX41" s="482">
        <f t="shared" si="9"/>
        <v>0</v>
      </c>
      <c r="AY41" s="483">
        <f t="shared" si="9"/>
        <v>0</v>
      </c>
      <c r="AZ41" s="433">
        <f t="shared" ref="AZ41:BE41" si="10">AZ40*0.1116</f>
        <v>59.984999999999999</v>
      </c>
      <c r="BA41" s="200">
        <f t="shared" si="10"/>
        <v>29.9925</v>
      </c>
      <c r="BB41" s="482">
        <f t="shared" si="10"/>
        <v>0</v>
      </c>
      <c r="BC41" s="483">
        <f t="shared" si="10"/>
        <v>0</v>
      </c>
      <c r="BD41" s="201">
        <f t="shared" si="10"/>
        <v>59.984999999999999</v>
      </c>
      <c r="BE41" s="200">
        <f t="shared" si="10"/>
        <v>29.9925</v>
      </c>
      <c r="BF41" s="74">
        <f>BF40*0.1116</f>
        <v>59.984999999999999</v>
      </c>
      <c r="BG41" s="425">
        <f>BG40*0.1116</f>
        <v>29.9925</v>
      </c>
      <c r="BH41" s="487"/>
      <c r="BI41" s="483"/>
    </row>
    <row r="42" spans="1:61" x14ac:dyDescent="0.2">
      <c r="A42" s="24" t="s">
        <v>55</v>
      </c>
      <c r="B42" s="378">
        <f t="shared" ref="B42:I42" si="11">B40*0.8884</f>
        <v>477.51499999999999</v>
      </c>
      <c r="C42" s="158">
        <f t="shared" si="11"/>
        <v>238.75749999999999</v>
      </c>
      <c r="D42" s="7">
        <f>B40*0.8884</f>
        <v>477.51499999999999</v>
      </c>
      <c r="E42" s="443">
        <f t="shared" si="11"/>
        <v>238.75749999999999</v>
      </c>
      <c r="F42" s="7">
        <f>D40*0.8884</f>
        <v>477.51499999999999</v>
      </c>
      <c r="G42" s="443">
        <f t="shared" ref="G42" si="12">G40*0.8884</f>
        <v>238.75749999999999</v>
      </c>
      <c r="H42" s="446">
        <f t="shared" si="11"/>
        <v>477.51499999999999</v>
      </c>
      <c r="I42" s="374">
        <f t="shared" si="11"/>
        <v>238.75749999999999</v>
      </c>
      <c r="J42" s="125">
        <f>J40*0.8884</f>
        <v>477.51499999999999</v>
      </c>
      <c r="K42" s="443">
        <f>K40*0.8884</f>
        <v>238.75749999999999</v>
      </c>
      <c r="L42" s="431">
        <f>L40*0.8884</f>
        <v>477.51499999999999</v>
      </c>
      <c r="M42" s="176">
        <f>M40*0.8884</f>
        <v>238.75749999999999</v>
      </c>
      <c r="N42" s="70"/>
      <c r="O42" s="92"/>
      <c r="P42" s="204"/>
      <c r="Q42" s="417"/>
      <c r="R42" s="70">
        <f t="shared" ref="R42:AG42" si="13">R40*0.8884</f>
        <v>477.51499999999999</v>
      </c>
      <c r="S42" s="92">
        <f t="shared" si="13"/>
        <v>238.75749999999999</v>
      </c>
      <c r="T42" s="204">
        <f t="shared" si="13"/>
        <v>477.51499999999999</v>
      </c>
      <c r="U42" s="196">
        <f t="shared" si="13"/>
        <v>238.75749999999999</v>
      </c>
      <c r="V42" s="70">
        <f t="shared" si="13"/>
        <v>477.51499999999999</v>
      </c>
      <c r="W42" s="92">
        <f t="shared" si="13"/>
        <v>238.75749999999999</v>
      </c>
      <c r="X42" s="204">
        <f>X40*0.8884</f>
        <v>477.51499999999999</v>
      </c>
      <c r="Y42" s="411">
        <f>Y40*0.8884</f>
        <v>238.75749999999999</v>
      </c>
      <c r="Z42" s="70">
        <f>Z40*0.8884</f>
        <v>477.51499999999999</v>
      </c>
      <c r="AA42" s="92">
        <f>AA40*0.8884</f>
        <v>238.75749999999999</v>
      </c>
      <c r="AB42" s="204">
        <f t="shared" si="13"/>
        <v>477.51499999999999</v>
      </c>
      <c r="AC42" s="196">
        <f t="shared" si="13"/>
        <v>238.75749999999999</v>
      </c>
      <c r="AD42" s="70">
        <f t="shared" si="13"/>
        <v>477.51499999999999</v>
      </c>
      <c r="AE42" s="92">
        <f t="shared" si="13"/>
        <v>238.75749999999999</v>
      </c>
      <c r="AF42" s="204">
        <f t="shared" si="13"/>
        <v>477.51499999999999</v>
      </c>
      <c r="AG42" s="196">
        <f t="shared" si="13"/>
        <v>238.75749999999999</v>
      </c>
      <c r="AH42" s="70">
        <f>AH40*0.8884</f>
        <v>477.51499999999999</v>
      </c>
      <c r="AI42" s="108">
        <f>AI40*0.8884</f>
        <v>238.75749999999999</v>
      </c>
      <c r="AJ42" s="187">
        <f>AH40*0.8884</f>
        <v>477.51499999999999</v>
      </c>
      <c r="AK42" s="196">
        <f>AK40*0.8884</f>
        <v>238.75749999999999</v>
      </c>
      <c r="AL42" s="70">
        <f>AJ40*0.8884</f>
        <v>477.51499999999999</v>
      </c>
      <c r="AM42" s="119">
        <f>AM40*0.8884</f>
        <v>238.75749999999999</v>
      </c>
      <c r="AN42" s="204">
        <f>AN40*0.8884</f>
        <v>477.51499999999999</v>
      </c>
      <c r="AO42" s="196">
        <f>AO40*0.8884</f>
        <v>238.75749999999999</v>
      </c>
      <c r="AP42" s="403"/>
      <c r="AQ42" s="424"/>
      <c r="AR42" s="204"/>
      <c r="AS42" s="427"/>
      <c r="AT42" s="70">
        <f t="shared" ref="AT42:AY42" si="14">AT40*0.8884</f>
        <v>477.51499999999999</v>
      </c>
      <c r="AU42" s="92">
        <f t="shared" si="14"/>
        <v>238.75749999999999</v>
      </c>
      <c r="AV42" s="431">
        <f t="shared" si="14"/>
        <v>477.51499999999999</v>
      </c>
      <c r="AW42" s="196">
        <f t="shared" si="14"/>
        <v>238.75749999999999</v>
      </c>
      <c r="AX42" s="479">
        <f t="shared" si="14"/>
        <v>0</v>
      </c>
      <c r="AY42" s="484">
        <f t="shared" si="14"/>
        <v>0</v>
      </c>
      <c r="AZ42" s="431">
        <f t="shared" ref="AZ42:BE42" si="15">AZ40*0.8884</f>
        <v>477.51499999999999</v>
      </c>
      <c r="BA42" s="196">
        <f t="shared" si="15"/>
        <v>238.75749999999999</v>
      </c>
      <c r="BB42" s="479">
        <f t="shared" si="15"/>
        <v>0</v>
      </c>
      <c r="BC42" s="484">
        <f t="shared" si="15"/>
        <v>0</v>
      </c>
      <c r="BD42" s="204">
        <f t="shared" si="15"/>
        <v>477.51499999999999</v>
      </c>
      <c r="BE42" s="196">
        <f t="shared" si="15"/>
        <v>238.75749999999999</v>
      </c>
      <c r="BF42" s="70">
        <f>BF40*0.8884</f>
        <v>477.51499999999999</v>
      </c>
      <c r="BG42" s="92">
        <f>BG40*0.8884</f>
        <v>238.75749999999999</v>
      </c>
      <c r="BH42" s="477"/>
      <c r="BI42" s="484"/>
    </row>
    <row r="43" spans="1:61" ht="13.5" thickBot="1" x14ac:dyDescent="0.25">
      <c r="A43" s="36"/>
      <c r="B43" s="380"/>
      <c r="C43" s="160"/>
      <c r="D43" s="19"/>
      <c r="E43" s="439"/>
      <c r="F43" s="19"/>
      <c r="G43" s="439"/>
      <c r="H43" s="429"/>
      <c r="I43" s="170"/>
      <c r="J43" s="127"/>
      <c r="K43" s="439"/>
      <c r="L43" s="429"/>
      <c r="M43" s="178"/>
      <c r="N43" s="72"/>
      <c r="O43" s="89"/>
      <c r="P43" s="202"/>
      <c r="Q43" s="418"/>
      <c r="R43" s="72"/>
      <c r="S43" s="89"/>
      <c r="T43" s="202"/>
      <c r="U43" s="418"/>
      <c r="V43" s="72"/>
      <c r="W43" s="89"/>
      <c r="X43" s="202"/>
      <c r="Y43" s="408"/>
      <c r="Z43" s="72"/>
      <c r="AA43" s="89"/>
      <c r="AB43" s="202"/>
      <c r="AC43" s="418"/>
      <c r="AD43" s="72"/>
      <c r="AE43" s="89"/>
      <c r="AF43" s="202"/>
      <c r="AG43" s="418"/>
      <c r="AH43" s="72"/>
      <c r="AI43" s="105"/>
      <c r="AJ43" s="188"/>
      <c r="AK43" s="418"/>
      <c r="AL43" s="72"/>
      <c r="AM43" s="116"/>
      <c r="AN43" s="202"/>
      <c r="AO43" s="418"/>
      <c r="AP43" s="72"/>
      <c r="AQ43" s="89"/>
      <c r="AR43" s="202"/>
      <c r="AS43" s="418"/>
      <c r="AT43" s="72"/>
      <c r="AU43" s="89"/>
      <c r="AV43" s="202"/>
      <c r="AW43" s="418"/>
      <c r="AX43" s="72"/>
      <c r="AY43" s="89"/>
      <c r="AZ43" s="202"/>
      <c r="BA43" s="418"/>
      <c r="BB43" s="72"/>
      <c r="BC43" s="89"/>
      <c r="BD43" s="202"/>
      <c r="BE43" s="418"/>
      <c r="BF43" s="72"/>
      <c r="BG43" s="89"/>
      <c r="BH43" s="202"/>
      <c r="BI43" s="418"/>
    </row>
    <row r="44" spans="1:61" ht="13.5" thickBot="1" x14ac:dyDescent="0.25">
      <c r="A44" s="46" t="s">
        <v>18</v>
      </c>
      <c r="B44" s="349">
        <f>A4</f>
        <v>500</v>
      </c>
      <c r="C44" s="349">
        <f>A4/A2</f>
        <v>250</v>
      </c>
      <c r="D44" s="47">
        <f>A4</f>
        <v>500</v>
      </c>
      <c r="E44" s="471">
        <f>A4/A2</f>
        <v>250</v>
      </c>
      <c r="F44" s="47">
        <f>A4</f>
        <v>500</v>
      </c>
      <c r="G44" s="471">
        <f>A4/A2</f>
        <v>250</v>
      </c>
      <c r="H44" s="453">
        <f>A4</f>
        <v>500</v>
      </c>
      <c r="I44" s="367">
        <f>A4/A2</f>
        <v>250</v>
      </c>
      <c r="J44" s="139">
        <f>A4</f>
        <v>500</v>
      </c>
      <c r="K44" s="471">
        <f>A4/A2</f>
        <v>250</v>
      </c>
      <c r="L44" s="453">
        <f>A4</f>
        <v>500</v>
      </c>
      <c r="M44" s="363">
        <f>A4/A2</f>
        <v>250</v>
      </c>
      <c r="N44" s="77"/>
      <c r="O44" s="99"/>
      <c r="P44" s="355"/>
      <c r="Q44" s="456"/>
      <c r="R44" s="77">
        <f>A4</f>
        <v>500</v>
      </c>
      <c r="S44" s="99">
        <f>A4/A2</f>
        <v>250</v>
      </c>
      <c r="T44" s="355">
        <f>A4</f>
        <v>500</v>
      </c>
      <c r="U44" s="456">
        <f>A4/A2</f>
        <v>250</v>
      </c>
      <c r="V44" s="77">
        <f>A4</f>
        <v>500</v>
      </c>
      <c r="W44" s="99">
        <f>A4/A2</f>
        <v>250</v>
      </c>
      <c r="X44" s="355">
        <f>A4</f>
        <v>500</v>
      </c>
      <c r="Y44" s="465">
        <f>A4/A2</f>
        <v>250</v>
      </c>
      <c r="Z44" s="77">
        <f>A4</f>
        <v>500</v>
      </c>
      <c r="AA44" s="99">
        <f>A4/A2</f>
        <v>250</v>
      </c>
      <c r="AB44" s="355">
        <f>A4</f>
        <v>500</v>
      </c>
      <c r="AC44" s="456">
        <f>A4/A2</f>
        <v>250</v>
      </c>
      <c r="AD44" s="77">
        <f>A4</f>
        <v>500</v>
      </c>
      <c r="AE44" s="99">
        <f>A4/A2</f>
        <v>250</v>
      </c>
      <c r="AF44" s="355">
        <f>A4</f>
        <v>500</v>
      </c>
      <c r="AG44" s="456">
        <f>A4/A2</f>
        <v>250</v>
      </c>
      <c r="AH44" s="77">
        <f>A4</f>
        <v>500</v>
      </c>
      <c r="AI44" s="133">
        <f>A4/A2</f>
        <v>250</v>
      </c>
      <c r="AJ44" s="359">
        <f>A4</f>
        <v>500</v>
      </c>
      <c r="AK44" s="456">
        <f>A4/A2</f>
        <v>250</v>
      </c>
      <c r="AL44" s="77">
        <f>A4</f>
        <v>500</v>
      </c>
      <c r="AM44" s="136">
        <f>A4/A2</f>
        <v>250</v>
      </c>
      <c r="AN44" s="355">
        <f>A4</f>
        <v>500</v>
      </c>
      <c r="AO44" s="456">
        <f>A4/A2</f>
        <v>250</v>
      </c>
      <c r="AP44" s="77">
        <f>A4</f>
        <v>500</v>
      </c>
      <c r="AQ44" s="99">
        <f>A4/A2</f>
        <v>250</v>
      </c>
      <c r="AR44" s="355"/>
      <c r="AS44" s="456"/>
      <c r="AT44" s="77">
        <f>A4</f>
        <v>500</v>
      </c>
      <c r="AU44" s="99">
        <f>A4/A2</f>
        <v>250</v>
      </c>
      <c r="AV44" s="453">
        <f>A4</f>
        <v>500</v>
      </c>
      <c r="AW44" s="451">
        <f>A4/A2</f>
        <v>250</v>
      </c>
      <c r="AX44" s="77">
        <f>A4</f>
        <v>500</v>
      </c>
      <c r="AY44" s="99">
        <f>A4/A2</f>
        <v>250</v>
      </c>
      <c r="AZ44" s="453">
        <f>A4</f>
        <v>500</v>
      </c>
      <c r="BA44" s="451">
        <f>A4/A2</f>
        <v>250</v>
      </c>
      <c r="BB44" s="77">
        <f>A4</f>
        <v>500</v>
      </c>
      <c r="BC44" s="447">
        <f>A4/A2</f>
        <v>250</v>
      </c>
      <c r="BD44" s="355">
        <f>A4</f>
        <v>500</v>
      </c>
      <c r="BE44" s="456">
        <f>A4/A2</f>
        <v>250</v>
      </c>
      <c r="BF44" s="77">
        <f>A4</f>
        <v>500</v>
      </c>
      <c r="BG44" s="447">
        <f>A4/A2</f>
        <v>250</v>
      </c>
      <c r="BH44" s="355">
        <f>A4</f>
        <v>500</v>
      </c>
      <c r="BI44" s="523">
        <f>A4/A2</f>
        <v>250</v>
      </c>
    </row>
    <row r="45" spans="1:61" x14ac:dyDescent="0.2">
      <c r="A45" s="45" t="s">
        <v>3</v>
      </c>
      <c r="B45" s="381"/>
      <c r="C45" s="162"/>
      <c r="D45" s="5"/>
      <c r="E45" s="441"/>
      <c r="F45" s="5"/>
      <c r="G45" s="441"/>
      <c r="H45" s="433"/>
      <c r="I45" s="167"/>
      <c r="J45" s="129"/>
      <c r="K45" s="441"/>
      <c r="L45" s="433"/>
      <c r="M45" s="181"/>
      <c r="N45" s="74"/>
      <c r="O45" s="91"/>
      <c r="P45" s="201"/>
      <c r="Q45" s="420"/>
      <c r="R45" s="74"/>
      <c r="S45" s="91"/>
      <c r="T45" s="201"/>
      <c r="U45" s="420"/>
      <c r="V45" s="74"/>
      <c r="W45" s="91"/>
      <c r="X45" s="201"/>
      <c r="Y45" s="410"/>
      <c r="Z45" s="74"/>
      <c r="AA45" s="91"/>
      <c r="AB45" s="201"/>
      <c r="AC45" s="420"/>
      <c r="AD45" s="74"/>
      <c r="AE45" s="91"/>
      <c r="AF45" s="201"/>
      <c r="AG45" s="420"/>
      <c r="AH45" s="74"/>
      <c r="AI45" s="107"/>
      <c r="AJ45" s="186"/>
      <c r="AK45" s="420"/>
      <c r="AL45" s="74"/>
      <c r="AM45" s="118"/>
      <c r="AN45" s="201"/>
      <c r="AO45" s="420"/>
      <c r="AP45" s="74"/>
      <c r="AQ45" s="91"/>
      <c r="AR45" s="201"/>
      <c r="AS45" s="420"/>
      <c r="AT45" s="74"/>
      <c r="AU45" s="91"/>
      <c r="AV45" s="201"/>
      <c r="AW45" s="420"/>
      <c r="AX45" s="74"/>
      <c r="AY45" s="91"/>
      <c r="AZ45" s="201"/>
      <c r="BA45" s="420"/>
      <c r="BB45" s="74"/>
      <c r="BC45" s="91"/>
      <c r="BD45" s="201"/>
      <c r="BE45" s="420"/>
      <c r="BF45" s="74"/>
      <c r="BG45" s="91"/>
      <c r="BH45" s="201"/>
      <c r="BI45" s="420"/>
    </row>
    <row r="46" spans="1:61" x14ac:dyDescent="0.2">
      <c r="A46" s="24" t="s">
        <v>0</v>
      </c>
      <c r="B46" s="378"/>
      <c r="C46" s="153"/>
      <c r="D46" s="7"/>
      <c r="E46" s="437"/>
      <c r="F46" s="7"/>
      <c r="G46" s="437"/>
      <c r="H46" s="431"/>
      <c r="I46" s="168"/>
      <c r="J46" s="125"/>
      <c r="K46" s="437"/>
      <c r="L46" s="431"/>
      <c r="M46" s="175"/>
      <c r="N46" s="70"/>
      <c r="O46" s="87"/>
      <c r="P46" s="479">
        <f>P22/4</f>
        <v>125</v>
      </c>
      <c r="Q46" s="478">
        <f>(A4*0.25)/A2</f>
        <v>62.5</v>
      </c>
      <c r="R46" s="70"/>
      <c r="S46" s="87"/>
      <c r="T46" s="477">
        <f>A4/3</f>
        <v>166.66666666666666</v>
      </c>
      <c r="U46" s="478">
        <f>(A4/3)/A2</f>
        <v>83.333333333333329</v>
      </c>
      <c r="V46" s="70"/>
      <c r="W46" s="87"/>
      <c r="X46" s="204"/>
      <c r="Y46" s="406"/>
      <c r="Z46" s="70"/>
      <c r="AA46" s="87"/>
      <c r="AB46" s="204"/>
      <c r="AC46" s="417"/>
      <c r="AD46" s="70"/>
      <c r="AE46" s="87"/>
      <c r="AF46" s="204"/>
      <c r="AG46" s="417"/>
      <c r="AH46" s="70"/>
      <c r="AI46" s="103"/>
      <c r="AJ46" s="187"/>
      <c r="AK46" s="417"/>
      <c r="AL46" s="70"/>
      <c r="AM46" s="114"/>
      <c r="AN46" s="204"/>
      <c r="AO46" s="417"/>
      <c r="AP46" s="70"/>
      <c r="AQ46" s="87"/>
      <c r="AR46" s="204"/>
      <c r="AS46" s="417"/>
      <c r="AT46" s="70"/>
      <c r="AU46" s="87"/>
      <c r="AV46" s="204"/>
      <c r="AW46" s="417"/>
      <c r="AX46" s="70"/>
      <c r="AY46" s="87"/>
      <c r="AZ46" s="204"/>
      <c r="BA46" s="417"/>
      <c r="BB46" s="70"/>
      <c r="BC46" s="87"/>
      <c r="BD46" s="204"/>
      <c r="BE46" s="417"/>
      <c r="BF46" s="70"/>
      <c r="BG46" s="87"/>
      <c r="BH46" s="204"/>
      <c r="BI46" s="417"/>
    </row>
    <row r="47" spans="1:61" x14ac:dyDescent="0.2">
      <c r="A47" s="25" t="s">
        <v>36</v>
      </c>
      <c r="B47" s="378">
        <f>A4</f>
        <v>500</v>
      </c>
      <c r="C47" s="153">
        <f>A4/A2</f>
        <v>250</v>
      </c>
      <c r="D47" s="7">
        <f>B44</f>
        <v>500</v>
      </c>
      <c r="E47" s="437">
        <f t="shared" ref="E47:M47" si="16">E44</f>
        <v>250</v>
      </c>
      <c r="F47" s="7">
        <f>F44+F38</f>
        <v>500</v>
      </c>
      <c r="G47" s="437">
        <f>G44+G38</f>
        <v>250</v>
      </c>
      <c r="H47" s="431">
        <f t="shared" si="16"/>
        <v>500</v>
      </c>
      <c r="I47" s="168">
        <f t="shared" si="16"/>
        <v>250</v>
      </c>
      <c r="J47" s="125">
        <f t="shared" si="16"/>
        <v>500</v>
      </c>
      <c r="K47" s="437">
        <f t="shared" si="16"/>
        <v>250</v>
      </c>
      <c r="L47" s="431">
        <f t="shared" si="16"/>
        <v>500</v>
      </c>
      <c r="M47" s="175">
        <f t="shared" si="16"/>
        <v>250</v>
      </c>
      <c r="N47" s="70"/>
      <c r="O47" s="87"/>
      <c r="P47" s="479">
        <f>P22/2</f>
        <v>250</v>
      </c>
      <c r="Q47" s="478">
        <f>(A4*0.5)/A2</f>
        <v>125</v>
      </c>
      <c r="R47" s="70"/>
      <c r="S47" s="87"/>
      <c r="T47" s="477">
        <f>A4/3</f>
        <v>166.66666666666666</v>
      </c>
      <c r="U47" s="478">
        <f>(A4/3)/A2</f>
        <v>83.333333333333329</v>
      </c>
      <c r="V47" s="70"/>
      <c r="W47" s="87"/>
      <c r="X47" s="204">
        <f>X44*0.25</f>
        <v>125</v>
      </c>
      <c r="Y47" s="406">
        <f>Y44*0.25</f>
        <v>62.5</v>
      </c>
      <c r="Z47" s="479">
        <f>Z44*0.25</f>
        <v>125</v>
      </c>
      <c r="AA47" s="478">
        <f>AA44*0.25</f>
        <v>62.5</v>
      </c>
      <c r="AB47" s="204"/>
      <c r="AC47" s="417"/>
      <c r="AD47" s="479">
        <f>A4*0.25</f>
        <v>125</v>
      </c>
      <c r="AE47" s="478">
        <f>(A4*0.25)/A2</f>
        <v>62.5</v>
      </c>
      <c r="AF47" s="204">
        <f>A4</f>
        <v>500</v>
      </c>
      <c r="AG47" s="417">
        <f>A4/A2</f>
        <v>250</v>
      </c>
      <c r="AH47" s="70">
        <f>AH44-AH54</f>
        <v>400</v>
      </c>
      <c r="AI47" s="103">
        <f>AI44-AI54</f>
        <v>200</v>
      </c>
      <c r="AJ47" s="187">
        <f>AJ44-AH54</f>
        <v>400</v>
      </c>
      <c r="AK47" s="417">
        <f>AK44-AK54</f>
        <v>200</v>
      </c>
      <c r="AL47" s="70">
        <f>AJ44-AJ54</f>
        <v>400</v>
      </c>
      <c r="AM47" s="114">
        <f>AM44-AM54</f>
        <v>200</v>
      </c>
      <c r="AN47" s="204">
        <f>AN44-AN54</f>
        <v>400</v>
      </c>
      <c r="AO47" s="417">
        <f>AO44-AO54</f>
        <v>200</v>
      </c>
      <c r="AP47" s="479">
        <f>A4</f>
        <v>500</v>
      </c>
      <c r="AQ47" s="478">
        <f>A4/A2</f>
        <v>250</v>
      </c>
      <c r="AR47" s="204"/>
      <c r="AS47" s="417"/>
      <c r="AT47" s="70">
        <f>A4</f>
        <v>500</v>
      </c>
      <c r="AU47" s="87">
        <f>A4/A2</f>
        <v>250</v>
      </c>
      <c r="AV47" s="204">
        <f>AV44</f>
        <v>500</v>
      </c>
      <c r="AW47" s="417">
        <f>AW44</f>
        <v>250</v>
      </c>
      <c r="AX47" s="70">
        <f>AX44</f>
        <v>500</v>
      </c>
      <c r="AY47" s="87">
        <f>AY44</f>
        <v>250</v>
      </c>
      <c r="AZ47" s="477"/>
      <c r="BA47" s="478"/>
      <c r="BB47" s="479">
        <f>A4</f>
        <v>500</v>
      </c>
      <c r="BC47" s="478">
        <f>A4/A2</f>
        <v>250</v>
      </c>
      <c r="BD47" s="479">
        <f>A4*0.25</f>
        <v>125</v>
      </c>
      <c r="BE47" s="478">
        <f>(A4*0.25)/A2</f>
        <v>62.5</v>
      </c>
      <c r="BF47" s="477">
        <f>BF44*0.1</f>
        <v>50</v>
      </c>
      <c r="BG47" s="478">
        <f>BG44*0.1</f>
        <v>25</v>
      </c>
      <c r="BH47" s="204">
        <f>BH44</f>
        <v>500</v>
      </c>
      <c r="BI47" s="417">
        <f>BI44</f>
        <v>250</v>
      </c>
    </row>
    <row r="48" spans="1:61" x14ac:dyDescent="0.2">
      <c r="A48" s="24" t="s">
        <v>1</v>
      </c>
      <c r="B48" s="378"/>
      <c r="C48" s="153"/>
      <c r="D48" s="7"/>
      <c r="E48" s="437"/>
      <c r="F48" s="7"/>
      <c r="G48" s="437"/>
      <c r="H48" s="431"/>
      <c r="I48" s="168"/>
      <c r="J48" s="125"/>
      <c r="K48" s="437"/>
      <c r="L48" s="431"/>
      <c r="M48" s="175"/>
      <c r="N48" s="70"/>
      <c r="O48" s="87"/>
      <c r="P48" s="479">
        <f>P22/4</f>
        <v>125</v>
      </c>
      <c r="Q48" s="478">
        <f>(A4*0.25)/A2</f>
        <v>62.5</v>
      </c>
      <c r="R48" s="70"/>
      <c r="S48" s="87"/>
      <c r="T48" s="204"/>
      <c r="U48" s="417"/>
      <c r="V48" s="70"/>
      <c r="W48" s="87"/>
      <c r="X48" s="204"/>
      <c r="Y48" s="406"/>
      <c r="Z48" s="70"/>
      <c r="AA48" s="87"/>
      <c r="AB48" s="204"/>
      <c r="AC48" s="417"/>
      <c r="AD48" s="70"/>
      <c r="AE48" s="87"/>
      <c r="AF48" s="204"/>
      <c r="AG48" s="417"/>
      <c r="AH48" s="70"/>
      <c r="AI48" s="103"/>
      <c r="AJ48" s="187"/>
      <c r="AK48" s="417"/>
      <c r="AL48" s="70"/>
      <c r="AM48" s="114"/>
      <c r="AN48" s="204"/>
      <c r="AO48" s="417"/>
      <c r="AP48" s="70"/>
      <c r="AQ48" s="87"/>
      <c r="AR48" s="204"/>
      <c r="AS48" s="417"/>
      <c r="AT48" s="70"/>
      <c r="AU48" s="87"/>
      <c r="AV48" s="204"/>
      <c r="AW48" s="417"/>
      <c r="AX48" s="70"/>
      <c r="AY48" s="87"/>
      <c r="AZ48" s="204"/>
      <c r="BA48" s="417"/>
      <c r="BB48" s="70"/>
      <c r="BC48" s="87"/>
      <c r="BD48" s="204"/>
      <c r="BE48" s="417"/>
      <c r="BF48" s="70"/>
      <c r="BG48" s="87"/>
      <c r="BH48" s="204"/>
      <c r="BI48" s="417"/>
    </row>
    <row r="49" spans="1:61" x14ac:dyDescent="0.2">
      <c r="A49" s="24" t="s">
        <v>2</v>
      </c>
      <c r="B49" s="378"/>
      <c r="C49" s="153"/>
      <c r="D49" s="7"/>
      <c r="E49" s="437"/>
      <c r="F49" s="7"/>
      <c r="G49" s="437"/>
      <c r="H49" s="431"/>
      <c r="I49" s="168"/>
      <c r="J49" s="125"/>
      <c r="K49" s="437"/>
      <c r="L49" s="431"/>
      <c r="M49" s="175"/>
      <c r="N49" s="70"/>
      <c r="O49" s="87"/>
      <c r="P49" s="204"/>
      <c r="Q49" s="417"/>
      <c r="R49" s="479">
        <f>A4</f>
        <v>500</v>
      </c>
      <c r="S49" s="478">
        <f>A4/A2</f>
        <v>250</v>
      </c>
      <c r="T49" s="204"/>
      <c r="U49" s="417"/>
      <c r="V49" s="70"/>
      <c r="W49" s="87"/>
      <c r="X49" s="204"/>
      <c r="Y49" s="406"/>
      <c r="Z49" s="70"/>
      <c r="AA49" s="87"/>
      <c r="AB49" s="204"/>
      <c r="AC49" s="417"/>
      <c r="AD49" s="70"/>
      <c r="AE49" s="87"/>
      <c r="AF49" s="204"/>
      <c r="AG49" s="417"/>
      <c r="AH49" s="70"/>
      <c r="AI49" s="103"/>
      <c r="AJ49" s="187"/>
      <c r="AK49" s="417"/>
      <c r="AL49" s="70"/>
      <c r="AM49" s="114"/>
      <c r="AN49" s="204"/>
      <c r="AO49" s="417"/>
      <c r="AP49" s="70"/>
      <c r="AQ49" s="87"/>
      <c r="AR49" s="204"/>
      <c r="AS49" s="417"/>
      <c r="AT49" s="70"/>
      <c r="AU49" s="87"/>
      <c r="AV49" s="204"/>
      <c r="AW49" s="417"/>
      <c r="AX49" s="70"/>
      <c r="AY49" s="87"/>
      <c r="AZ49" s="204"/>
      <c r="BA49" s="417"/>
      <c r="BB49" s="70"/>
      <c r="BC49" s="87"/>
      <c r="BD49" s="204"/>
      <c r="BE49" s="417"/>
      <c r="BF49" s="70"/>
      <c r="BG49" s="87"/>
      <c r="BH49" s="204"/>
      <c r="BI49" s="417"/>
    </row>
    <row r="50" spans="1:61" x14ac:dyDescent="0.2">
      <c r="A50" s="24" t="s">
        <v>103</v>
      </c>
      <c r="B50" s="378"/>
      <c r="C50" s="153"/>
      <c r="D50" s="7"/>
      <c r="E50" s="437"/>
      <c r="F50" s="7"/>
      <c r="G50" s="437"/>
      <c r="H50" s="431"/>
      <c r="I50" s="168"/>
      <c r="J50" s="125"/>
      <c r="K50" s="437"/>
      <c r="L50" s="431"/>
      <c r="M50" s="175"/>
      <c r="N50" s="70"/>
      <c r="O50" s="87"/>
      <c r="P50" s="204"/>
      <c r="Q50" s="417"/>
      <c r="R50" s="70"/>
      <c r="S50" s="87"/>
      <c r="T50" s="479">
        <f>A4/3</f>
        <v>166.66666666666666</v>
      </c>
      <c r="U50" s="478">
        <f>(A4/3)/A2</f>
        <v>83.333333333333329</v>
      </c>
      <c r="V50" s="70"/>
      <c r="W50" s="87"/>
      <c r="X50" s="204"/>
      <c r="Y50" s="406"/>
      <c r="Z50" s="70"/>
      <c r="AA50" s="87"/>
      <c r="AB50" s="204"/>
      <c r="AC50" s="417"/>
      <c r="AD50" s="70"/>
      <c r="AE50" s="87"/>
      <c r="AF50" s="204"/>
      <c r="AG50" s="417"/>
      <c r="AH50" s="70"/>
      <c r="AI50" s="103"/>
      <c r="AJ50" s="187"/>
      <c r="AK50" s="417"/>
      <c r="AL50" s="70"/>
      <c r="AM50" s="114"/>
      <c r="AN50" s="204"/>
      <c r="AO50" s="417"/>
      <c r="AP50" s="70"/>
      <c r="AQ50" s="87"/>
      <c r="AR50" s="204"/>
      <c r="AS50" s="417"/>
      <c r="AT50" s="70"/>
      <c r="AU50" s="87"/>
      <c r="AV50" s="204"/>
      <c r="AW50" s="417"/>
      <c r="AX50" s="70"/>
      <c r="AY50" s="87"/>
      <c r="AZ50" s="204"/>
      <c r="BA50" s="417"/>
      <c r="BB50" s="70"/>
      <c r="BC50" s="87"/>
      <c r="BD50" s="204"/>
      <c r="BE50" s="417"/>
      <c r="BF50" s="70"/>
      <c r="BG50" s="87"/>
      <c r="BH50" s="204"/>
      <c r="BI50" s="417"/>
    </row>
    <row r="51" spans="1:61" x14ac:dyDescent="0.2">
      <c r="A51" s="22" t="s">
        <v>13</v>
      </c>
      <c r="B51" s="378"/>
      <c r="C51" s="153"/>
      <c r="D51" s="7"/>
      <c r="E51" s="437"/>
      <c r="F51" s="7"/>
      <c r="G51" s="437"/>
      <c r="H51" s="431"/>
      <c r="I51" s="168"/>
      <c r="J51" s="125"/>
      <c r="K51" s="437"/>
      <c r="L51" s="431"/>
      <c r="M51" s="175"/>
      <c r="N51" s="70"/>
      <c r="O51" s="87"/>
      <c r="P51" s="204"/>
      <c r="Q51" s="417"/>
      <c r="R51" s="70"/>
      <c r="S51" s="87"/>
      <c r="T51" s="204"/>
      <c r="U51" s="417"/>
      <c r="V51" s="479">
        <f>A4</f>
        <v>500</v>
      </c>
      <c r="W51" s="478">
        <f>A4/A2</f>
        <v>250</v>
      </c>
      <c r="X51" s="479">
        <f>X44*0.75</f>
        <v>375</v>
      </c>
      <c r="Y51" s="509">
        <f>Y44*0.75</f>
        <v>187.5</v>
      </c>
      <c r="Z51" s="479">
        <f>Z44*0.75</f>
        <v>375</v>
      </c>
      <c r="AA51" s="478">
        <f>AA44*0.75</f>
        <v>187.5</v>
      </c>
      <c r="AB51" s="204"/>
      <c r="AC51" s="417"/>
      <c r="AD51" s="70"/>
      <c r="AE51" s="87"/>
      <c r="AF51" s="204"/>
      <c r="AG51" s="417"/>
      <c r="AH51" s="70"/>
      <c r="AI51" s="103"/>
      <c r="AJ51" s="187"/>
      <c r="AK51" s="417"/>
      <c r="AL51" s="70"/>
      <c r="AM51" s="114"/>
      <c r="AN51" s="204"/>
      <c r="AO51" s="417"/>
      <c r="AP51" s="70"/>
      <c r="AQ51" s="87"/>
      <c r="AR51" s="204"/>
      <c r="AS51" s="417"/>
      <c r="AT51" s="70"/>
      <c r="AU51" s="87"/>
      <c r="AV51" s="204"/>
      <c r="AW51" s="417"/>
      <c r="AX51" s="70"/>
      <c r="AY51" s="87"/>
      <c r="AZ51" s="204"/>
      <c r="BA51" s="417"/>
      <c r="BB51" s="70"/>
      <c r="BC51" s="87"/>
      <c r="BD51" s="204"/>
      <c r="BE51" s="417"/>
      <c r="BF51" s="70"/>
      <c r="BG51" s="87"/>
      <c r="BH51" s="204"/>
      <c r="BI51" s="417"/>
    </row>
    <row r="52" spans="1:61" x14ac:dyDescent="0.2">
      <c r="A52" s="22" t="s">
        <v>4</v>
      </c>
      <c r="B52" s="378"/>
      <c r="C52" s="153"/>
      <c r="D52" s="7"/>
      <c r="E52" s="437"/>
      <c r="F52" s="7"/>
      <c r="G52" s="437"/>
      <c r="H52" s="431"/>
      <c r="I52" s="168"/>
      <c r="J52" s="125"/>
      <c r="K52" s="437"/>
      <c r="L52" s="431"/>
      <c r="M52" s="389"/>
      <c r="N52" s="70"/>
      <c r="O52" s="87"/>
      <c r="P52" s="204"/>
      <c r="Q52" s="417"/>
      <c r="R52" s="70"/>
      <c r="S52" s="87"/>
      <c r="T52" s="204"/>
      <c r="U52" s="417"/>
      <c r="V52" s="70"/>
      <c r="W52" s="87"/>
      <c r="X52" s="204"/>
      <c r="Y52" s="406"/>
      <c r="Z52" s="70"/>
      <c r="AA52" s="87"/>
      <c r="AB52" s="400">
        <f>A4</f>
        <v>500</v>
      </c>
      <c r="AC52" s="421">
        <f>A4/A2</f>
        <v>250</v>
      </c>
      <c r="AD52" s="70"/>
      <c r="AE52" s="87"/>
      <c r="AF52" s="204"/>
      <c r="AG52" s="417"/>
      <c r="AH52" s="70"/>
      <c r="AI52" s="103"/>
      <c r="AJ52" s="187"/>
      <c r="AK52" s="417"/>
      <c r="AL52" s="70"/>
      <c r="AM52" s="114"/>
      <c r="AN52" s="204"/>
      <c r="AO52" s="417"/>
      <c r="AP52" s="70"/>
      <c r="AQ52" s="87"/>
      <c r="AR52" s="204"/>
      <c r="AS52" s="417"/>
      <c r="AT52" s="70"/>
      <c r="AU52" s="87"/>
      <c r="AV52" s="204"/>
      <c r="AW52" s="417"/>
      <c r="AX52" s="70"/>
      <c r="AY52" s="87"/>
      <c r="AZ52" s="204"/>
      <c r="BA52" s="417"/>
      <c r="BB52" s="70"/>
      <c r="BC52" s="87"/>
      <c r="BD52" s="204"/>
      <c r="BE52" s="417"/>
      <c r="BF52" s="70"/>
      <c r="BG52" s="87"/>
      <c r="BH52" s="204"/>
      <c r="BI52" s="417"/>
    </row>
    <row r="53" spans="1:61" x14ac:dyDescent="0.2">
      <c r="A53" s="22" t="s">
        <v>71</v>
      </c>
      <c r="B53" s="378"/>
      <c r="C53" s="153"/>
      <c r="D53" s="7"/>
      <c r="E53" s="437"/>
      <c r="F53" s="7"/>
      <c r="G53" s="437"/>
      <c r="H53" s="431"/>
      <c r="I53" s="168"/>
      <c r="J53" s="125"/>
      <c r="K53" s="437"/>
      <c r="L53" s="431"/>
      <c r="M53" s="389"/>
      <c r="N53" s="70"/>
      <c r="O53" s="87"/>
      <c r="P53" s="204"/>
      <c r="Q53" s="417"/>
      <c r="R53" s="70"/>
      <c r="S53" s="87"/>
      <c r="T53" s="204"/>
      <c r="U53" s="417"/>
      <c r="V53" s="70"/>
      <c r="W53" s="87"/>
      <c r="X53" s="204"/>
      <c r="Y53" s="406"/>
      <c r="Z53" s="70"/>
      <c r="AA53" s="87"/>
      <c r="AB53" s="204"/>
      <c r="AC53" s="417"/>
      <c r="AD53" s="479">
        <f>A4*0.75</f>
        <v>375</v>
      </c>
      <c r="AE53" s="478">
        <f>(A4*0.75)/A2</f>
        <v>187.5</v>
      </c>
      <c r="AF53" s="204"/>
      <c r="AG53" s="417"/>
      <c r="AH53" s="70"/>
      <c r="AI53" s="103"/>
      <c r="AJ53" s="187"/>
      <c r="AK53" s="417"/>
      <c r="AL53" s="70"/>
      <c r="AM53" s="114"/>
      <c r="AN53" s="204"/>
      <c r="AO53" s="417"/>
      <c r="AP53" s="70"/>
      <c r="AQ53" s="87"/>
      <c r="AR53" s="204"/>
      <c r="AS53" s="417"/>
      <c r="AT53" s="70"/>
      <c r="AU53" s="87"/>
      <c r="AV53" s="204"/>
      <c r="AW53" s="417"/>
      <c r="AX53" s="70"/>
      <c r="AY53" s="87"/>
      <c r="AZ53" s="204"/>
      <c r="BA53" s="417"/>
      <c r="BB53" s="70"/>
      <c r="BC53" s="87"/>
      <c r="BD53" s="479">
        <f>A4*0.75</f>
        <v>375</v>
      </c>
      <c r="BE53" s="478">
        <f>(A4*0.75)/A2</f>
        <v>187.5</v>
      </c>
      <c r="BF53" s="70"/>
      <c r="BG53" s="87"/>
      <c r="BH53" s="204"/>
      <c r="BI53" s="417"/>
    </row>
    <row r="54" spans="1:61" x14ac:dyDescent="0.2">
      <c r="A54" s="343" t="s">
        <v>43</v>
      </c>
      <c r="B54" s="380"/>
      <c r="C54" s="160"/>
      <c r="D54" s="19"/>
      <c r="E54" s="439"/>
      <c r="F54" s="19"/>
      <c r="G54" s="439"/>
      <c r="H54" s="429"/>
      <c r="I54" s="170"/>
      <c r="J54" s="127"/>
      <c r="K54" s="439"/>
      <c r="L54" s="431"/>
      <c r="M54" s="389"/>
      <c r="N54" s="72"/>
      <c r="O54" s="89"/>
      <c r="P54" s="202"/>
      <c r="Q54" s="418"/>
      <c r="R54" s="72"/>
      <c r="S54" s="89"/>
      <c r="T54" s="202"/>
      <c r="U54" s="418"/>
      <c r="V54" s="72"/>
      <c r="W54" s="89"/>
      <c r="X54" s="202"/>
      <c r="Y54" s="408"/>
      <c r="Z54" s="72"/>
      <c r="AA54" s="89"/>
      <c r="AB54" s="202"/>
      <c r="AC54" s="418"/>
      <c r="AD54" s="72"/>
      <c r="AE54" s="89"/>
      <c r="AF54" s="202"/>
      <c r="AG54" s="418"/>
      <c r="AH54" s="501">
        <f>IF(A4=0,0,100)</f>
        <v>100</v>
      </c>
      <c r="AI54" s="502">
        <f>AH54/A2</f>
        <v>50</v>
      </c>
      <c r="AJ54" s="506">
        <f>IF(A4=0,0,100)</f>
        <v>100</v>
      </c>
      <c r="AK54" s="507">
        <f>AJ54/A2</f>
        <v>50</v>
      </c>
      <c r="AL54" s="501">
        <f>IF(A4=0,0,100)</f>
        <v>100</v>
      </c>
      <c r="AM54" s="502">
        <f>AL54/A2</f>
        <v>50</v>
      </c>
      <c r="AN54" s="357">
        <f>IF(A4=0,0,100)</f>
        <v>100</v>
      </c>
      <c r="AO54" s="460">
        <f>AN54/A2</f>
        <v>50</v>
      </c>
      <c r="AP54" s="72"/>
      <c r="AQ54" s="89"/>
      <c r="AR54" s="202"/>
      <c r="AS54" s="418"/>
      <c r="AT54" s="72"/>
      <c r="AU54" s="89"/>
      <c r="AV54" s="202"/>
      <c r="AW54" s="418"/>
      <c r="AX54" s="72"/>
      <c r="AY54" s="89"/>
      <c r="AZ54" s="202"/>
      <c r="BA54" s="418"/>
      <c r="BB54" s="72"/>
      <c r="BC54" s="89"/>
      <c r="BD54" s="202"/>
      <c r="BE54" s="418"/>
      <c r="BF54" s="70"/>
      <c r="BG54" s="87"/>
      <c r="BH54" s="204"/>
      <c r="BI54" s="417"/>
    </row>
    <row r="55" spans="1:61" x14ac:dyDescent="0.2">
      <c r="A55" s="343" t="s">
        <v>105</v>
      </c>
      <c r="B55" s="380"/>
      <c r="C55" s="160"/>
      <c r="D55" s="19"/>
      <c r="E55" s="439"/>
      <c r="F55" s="19"/>
      <c r="G55" s="439"/>
      <c r="H55" s="429"/>
      <c r="I55" s="170"/>
      <c r="J55" s="127"/>
      <c r="K55" s="439"/>
      <c r="L55" s="431"/>
      <c r="M55" s="389"/>
      <c r="N55" s="72"/>
      <c r="O55" s="89"/>
      <c r="P55" s="202"/>
      <c r="Q55" s="418"/>
      <c r="R55" s="72"/>
      <c r="S55" s="89"/>
      <c r="T55" s="202"/>
      <c r="U55" s="418"/>
      <c r="V55" s="72"/>
      <c r="W55" s="89"/>
      <c r="X55" s="202"/>
      <c r="Y55" s="408"/>
      <c r="Z55" s="72"/>
      <c r="AA55" s="89"/>
      <c r="AB55" s="202"/>
      <c r="AC55" s="418"/>
      <c r="AD55" s="72"/>
      <c r="AE55" s="89"/>
      <c r="AF55" s="202"/>
      <c r="AG55" s="418"/>
      <c r="AH55" s="392"/>
      <c r="AI55" s="499"/>
      <c r="AJ55" s="497"/>
      <c r="AK55" s="496"/>
      <c r="AL55" s="392"/>
      <c r="AM55" s="499"/>
      <c r="AN55" s="497"/>
      <c r="AO55" s="496"/>
      <c r="AP55" s="72"/>
      <c r="AQ55" s="89"/>
      <c r="AR55" s="202"/>
      <c r="AS55" s="418"/>
      <c r="AT55" s="72"/>
      <c r="AU55" s="89"/>
      <c r="AV55" s="202"/>
      <c r="AW55" s="418"/>
      <c r="AX55" s="72"/>
      <c r="AY55" s="89"/>
      <c r="AZ55" s="202"/>
      <c r="BA55" s="418"/>
      <c r="BB55" s="72"/>
      <c r="BC55" s="89"/>
      <c r="BD55" s="202"/>
      <c r="BE55" s="418"/>
      <c r="BF55" s="477">
        <f>BF44*0.65</f>
        <v>325</v>
      </c>
      <c r="BG55" s="478">
        <f>BG44*0.65</f>
        <v>162.5</v>
      </c>
      <c r="BH55" s="204"/>
      <c r="BI55" s="417"/>
    </row>
    <row r="56" spans="1:61" x14ac:dyDescent="0.2">
      <c r="A56" s="343" t="s">
        <v>106</v>
      </c>
      <c r="B56" s="380"/>
      <c r="C56" s="160"/>
      <c r="D56" s="19"/>
      <c r="E56" s="439"/>
      <c r="F56" s="19"/>
      <c r="G56" s="439"/>
      <c r="H56" s="429"/>
      <c r="I56" s="170"/>
      <c r="J56" s="127"/>
      <c r="K56" s="439"/>
      <c r="L56" s="431"/>
      <c r="M56" s="389"/>
      <c r="N56" s="72"/>
      <c r="O56" s="89"/>
      <c r="P56" s="202"/>
      <c r="Q56" s="418"/>
      <c r="R56" s="72"/>
      <c r="S56" s="89"/>
      <c r="T56" s="202"/>
      <c r="U56" s="418"/>
      <c r="V56" s="72"/>
      <c r="W56" s="89"/>
      <c r="X56" s="202"/>
      <c r="Y56" s="408"/>
      <c r="Z56" s="72"/>
      <c r="AA56" s="89"/>
      <c r="AB56" s="202"/>
      <c r="AC56" s="418"/>
      <c r="AD56" s="72"/>
      <c r="AE56" s="89"/>
      <c r="AF56" s="202"/>
      <c r="AG56" s="418"/>
      <c r="AH56" s="392"/>
      <c r="AI56" s="499"/>
      <c r="AJ56" s="497"/>
      <c r="AK56" s="496"/>
      <c r="AL56" s="392"/>
      <c r="AM56" s="499"/>
      <c r="AN56" s="498"/>
      <c r="AO56" s="496"/>
      <c r="AP56" s="72"/>
      <c r="AQ56" s="89"/>
      <c r="AR56" s="202"/>
      <c r="AS56" s="418"/>
      <c r="AT56" s="72"/>
      <c r="AU56" s="89"/>
      <c r="AV56" s="202"/>
      <c r="AW56" s="418"/>
      <c r="AX56" s="72"/>
      <c r="AY56" s="89"/>
      <c r="AZ56" s="202"/>
      <c r="BA56" s="418"/>
      <c r="BB56" s="72"/>
      <c r="BC56" s="89"/>
      <c r="BD56" s="202"/>
      <c r="BE56" s="418"/>
      <c r="BF56" s="477">
        <f>BF44*0.25</f>
        <v>125</v>
      </c>
      <c r="BG56" s="478">
        <f>BG44*0.25</f>
        <v>62.5</v>
      </c>
      <c r="BH56" s="204"/>
      <c r="BI56" s="417"/>
    </row>
    <row r="57" spans="1:61" ht="13.5" thickBot="1" x14ac:dyDescent="0.25">
      <c r="A57" s="390" t="s">
        <v>97</v>
      </c>
      <c r="B57" s="384"/>
      <c r="C57" s="368"/>
      <c r="D57" s="345"/>
      <c r="E57" s="472"/>
      <c r="F57" s="345"/>
      <c r="G57" s="472"/>
      <c r="H57" s="469"/>
      <c r="I57" s="369"/>
      <c r="J57" s="347"/>
      <c r="K57" s="472"/>
      <c r="L57" s="469"/>
      <c r="M57" s="364"/>
      <c r="N57" s="346"/>
      <c r="O57" s="448"/>
      <c r="P57" s="455"/>
      <c r="Q57" s="454"/>
      <c r="R57" s="449"/>
      <c r="S57" s="448"/>
      <c r="T57" s="455"/>
      <c r="U57" s="454"/>
      <c r="V57" s="449"/>
      <c r="W57" s="448"/>
      <c r="X57" s="455"/>
      <c r="Y57" s="466"/>
      <c r="Z57" s="449"/>
      <c r="AA57" s="448"/>
      <c r="AB57" s="455"/>
      <c r="AC57" s="454"/>
      <c r="AD57" s="449"/>
      <c r="AE57" s="448"/>
      <c r="AF57" s="455"/>
      <c r="AG57" s="454"/>
      <c r="AH57" s="462"/>
      <c r="AI57" s="358"/>
      <c r="AJ57" s="356"/>
      <c r="AK57" s="461"/>
      <c r="AL57" s="462"/>
      <c r="AM57" s="358"/>
      <c r="AN57" s="356"/>
      <c r="AO57" s="461"/>
      <c r="AP57" s="449"/>
      <c r="AQ57" s="448"/>
      <c r="AR57" s="455"/>
      <c r="AS57" s="454"/>
      <c r="AT57" s="449"/>
      <c r="AU57" s="448"/>
      <c r="AV57" s="455"/>
      <c r="AW57" s="454"/>
      <c r="AX57" s="449"/>
      <c r="AY57" s="448"/>
      <c r="AZ57" s="492">
        <f>AZ44</f>
        <v>500</v>
      </c>
      <c r="BA57" s="493">
        <f>BA44</f>
        <v>250</v>
      </c>
      <c r="BB57" s="449"/>
      <c r="BC57" s="448"/>
      <c r="BD57" s="455"/>
      <c r="BE57" s="454"/>
      <c r="BF57" s="490"/>
      <c r="BG57" s="491"/>
      <c r="BH57" s="521"/>
      <c r="BI57" s="522"/>
    </row>
    <row r="58" spans="1:61" x14ac:dyDescent="0.2">
      <c r="A58" s="344"/>
      <c r="B58" s="344"/>
      <c r="C58" s="344"/>
      <c r="D58" s="344"/>
      <c r="E58" s="344"/>
      <c r="F58" s="344"/>
      <c r="G58" s="344"/>
      <c r="H58" s="344"/>
      <c r="I58" s="344"/>
      <c r="J58" s="344"/>
      <c r="K58" s="344"/>
      <c r="L58" s="344"/>
      <c r="M58" s="344"/>
      <c r="N58" s="344"/>
      <c r="O58" s="344"/>
      <c r="P58" s="344"/>
      <c r="Q58" s="344"/>
      <c r="R58" s="344"/>
      <c r="S58" s="344"/>
      <c r="T58" s="344"/>
      <c r="U58" s="344"/>
      <c r="V58" s="344"/>
      <c r="W58" s="344"/>
      <c r="X58" s="344"/>
      <c r="Y58" s="344"/>
      <c r="Z58" s="344"/>
      <c r="AA58" s="344"/>
      <c r="AB58" s="344"/>
      <c r="AC58" s="344"/>
      <c r="AD58" s="344"/>
      <c r="AE58" s="344"/>
      <c r="AF58" s="344"/>
      <c r="AG58" s="344"/>
      <c r="AH58" s="344"/>
      <c r="AI58" s="344"/>
      <c r="AJ58" s="344"/>
      <c r="AK58" s="344"/>
      <c r="AL58" s="344"/>
      <c r="AM58" s="344"/>
      <c r="AN58" s="344"/>
      <c r="AO58" s="344"/>
      <c r="AP58" s="344"/>
      <c r="AQ58" s="344"/>
      <c r="AR58" s="344"/>
      <c r="AS58" s="344"/>
      <c r="AT58" s="344"/>
      <c r="AU58" s="344"/>
      <c r="AV58" s="3"/>
      <c r="AW58" s="3"/>
      <c r="AX58" s="3"/>
      <c r="AY58" s="3"/>
    </row>
    <row r="59" spans="1:61" x14ac:dyDescent="0.2">
      <c r="D59" s="15">
        <f>D22+120</f>
        <v>1207.5</v>
      </c>
    </row>
  </sheetData>
  <protectedRanges>
    <protectedRange sqref="G18" name="Range1"/>
  </protectedRanges>
  <mergeCells count="40">
    <mergeCell ref="N18:O18"/>
    <mergeCell ref="F19:G19"/>
    <mergeCell ref="F17:G17"/>
    <mergeCell ref="BD19:BE19"/>
    <mergeCell ref="AZ19:BA19"/>
    <mergeCell ref="AX19:AY19"/>
    <mergeCell ref="AT19:AU19"/>
    <mergeCell ref="AF19:AG19"/>
    <mergeCell ref="AR19:AS19"/>
    <mergeCell ref="AH19:AI19"/>
    <mergeCell ref="AN19:AO19"/>
    <mergeCell ref="AJ19:AK19"/>
    <mergeCell ref="AP19:AQ19"/>
    <mergeCell ref="AL19:AM19"/>
    <mergeCell ref="AV19:AW19"/>
    <mergeCell ref="Z19:AA19"/>
    <mergeCell ref="AB19:AC19"/>
    <mergeCell ref="T19:U19"/>
    <mergeCell ref="B19:C19"/>
    <mergeCell ref="D19:E19"/>
    <mergeCell ref="H19:I19"/>
    <mergeCell ref="L19:M19"/>
    <mergeCell ref="N19:O19"/>
    <mergeCell ref="J19:K19"/>
    <mergeCell ref="BF19:BG19"/>
    <mergeCell ref="BH19:BI19"/>
    <mergeCell ref="BB19:BC19"/>
    <mergeCell ref="J18:K18"/>
    <mergeCell ref="L18:M18"/>
    <mergeCell ref="AD19:AE19"/>
    <mergeCell ref="AN18:AO18"/>
    <mergeCell ref="AJ18:AK18"/>
    <mergeCell ref="AH17:AI18"/>
    <mergeCell ref="AJ17:AM17"/>
    <mergeCell ref="AL18:AM18"/>
    <mergeCell ref="AF18:AG18"/>
    <mergeCell ref="X19:Y19"/>
    <mergeCell ref="V19:W19"/>
    <mergeCell ref="P19:Q19"/>
    <mergeCell ref="R19:S19"/>
  </mergeCells>
  <phoneticPr fontId="0" type="noConversion"/>
  <pageMargins left="0.25" right="0" top="1" bottom="1" header="0.5" footer="0.5"/>
  <pageSetup scale="60" fitToHeight="0"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BI62"/>
  <sheetViews>
    <sheetView zoomScale="79" zoomScaleNormal="79" workbookViewId="0">
      <pane xSplit="1" topLeftCell="B1" activePane="topRight" state="frozen"/>
      <selection activeCell="A3" sqref="A3"/>
      <selection pane="topRight" activeCell="C4" sqref="C4"/>
    </sheetView>
  </sheetViews>
  <sheetFormatPr defaultRowHeight="12.75" x14ac:dyDescent="0.2"/>
  <cols>
    <col min="1" max="1" width="65.7109375" bestFit="1" customWidth="1"/>
    <col min="2" max="61" width="13.85546875" customWidth="1"/>
  </cols>
  <sheetData>
    <row r="1" spans="1:47" ht="13.5" thickBot="1" x14ac:dyDescent="0.25">
      <c r="A1" s="16" t="s">
        <v>14</v>
      </c>
    </row>
    <row r="2" spans="1:47" ht="13.5" thickBot="1" x14ac:dyDescent="0.25">
      <c r="A2" s="49">
        <v>4</v>
      </c>
    </row>
    <row r="3" spans="1:47" ht="14.45" customHeight="1" thickBot="1" x14ac:dyDescent="0.25">
      <c r="A3" s="16" t="s">
        <v>54</v>
      </c>
      <c r="C3" s="1"/>
      <c r="E3" s="1"/>
      <c r="F3" s="1"/>
      <c r="G3" s="1"/>
      <c r="I3" s="1"/>
      <c r="J3" s="1"/>
      <c r="K3" s="1"/>
      <c r="L3" s="1"/>
      <c r="M3" s="1"/>
      <c r="N3" s="1"/>
      <c r="O3" s="1"/>
      <c r="S3" s="1"/>
      <c r="U3" s="1"/>
      <c r="W3" s="1"/>
      <c r="X3" s="1"/>
      <c r="Y3" s="1"/>
      <c r="Z3" s="1"/>
      <c r="AA3" s="1"/>
      <c r="AC3" s="1"/>
      <c r="AE3" s="1"/>
      <c r="AF3" s="1"/>
      <c r="AN3" s="15"/>
      <c r="AR3" s="1"/>
      <c r="AT3" s="1"/>
    </row>
    <row r="4" spans="1:47" ht="13.5" thickBot="1" x14ac:dyDescent="0.25">
      <c r="A4" s="50">
        <v>0</v>
      </c>
      <c r="C4" s="1"/>
      <c r="E4" s="1"/>
      <c r="F4" s="1"/>
      <c r="G4" s="1"/>
      <c r="I4" s="1"/>
      <c r="J4" s="1"/>
      <c r="K4" s="1"/>
      <c r="L4" s="1"/>
      <c r="M4" s="1"/>
      <c r="N4" s="1"/>
      <c r="O4" s="1"/>
      <c r="S4" s="1"/>
      <c r="U4" s="1"/>
      <c r="W4" s="1"/>
      <c r="X4" s="1"/>
      <c r="Y4" s="1"/>
      <c r="Z4" s="1"/>
      <c r="AA4" s="1"/>
      <c r="AC4" s="1"/>
      <c r="AE4" s="1"/>
      <c r="AF4" s="385"/>
      <c r="AG4" s="386"/>
      <c r="AH4" s="386"/>
      <c r="AI4" s="386"/>
      <c r="AJ4" s="386"/>
      <c r="AK4" s="386"/>
      <c r="AL4" s="386"/>
      <c r="AM4" s="386"/>
      <c r="AR4" s="1"/>
      <c r="AT4" s="1"/>
    </row>
    <row r="5" spans="1:47" ht="13.9" hidden="1" customHeight="1" x14ac:dyDescent="0.2">
      <c r="A5" s="1" t="s">
        <v>28</v>
      </c>
      <c r="B5" s="2">
        <f>A4*1.075</f>
        <v>0</v>
      </c>
      <c r="E5" s="1"/>
      <c r="F5" s="1"/>
      <c r="G5" s="1"/>
      <c r="I5" s="1"/>
      <c r="J5" s="1"/>
      <c r="K5" s="1"/>
      <c r="L5" s="1"/>
      <c r="M5" s="1"/>
      <c r="N5" s="1"/>
      <c r="O5" s="1"/>
      <c r="S5" s="1"/>
      <c r="U5" s="1"/>
      <c r="W5" s="1"/>
      <c r="X5" s="1"/>
      <c r="Y5" s="1"/>
      <c r="Z5" s="1"/>
      <c r="AA5" s="1"/>
      <c r="AC5" s="1"/>
      <c r="AE5" s="1"/>
      <c r="AF5" s="1"/>
      <c r="AR5" s="1"/>
      <c r="AT5" s="1"/>
    </row>
    <row r="6" spans="1:47" ht="13.9" hidden="1" customHeight="1" x14ac:dyDescent="0.2">
      <c r="A6" s="1" t="s">
        <v>27</v>
      </c>
      <c r="B6" s="2">
        <v>25</v>
      </c>
      <c r="C6" s="1"/>
      <c r="E6" s="1"/>
      <c r="F6" s="1"/>
      <c r="G6" s="1"/>
      <c r="I6" s="1"/>
      <c r="J6" s="1"/>
      <c r="K6" s="1"/>
      <c r="L6" s="1"/>
      <c r="M6" s="1"/>
      <c r="N6" s="1"/>
      <c r="O6" s="1"/>
      <c r="S6" s="1"/>
      <c r="U6" s="1"/>
      <c r="W6" s="1"/>
      <c r="X6" s="1"/>
      <c r="Y6" s="1"/>
      <c r="Z6" s="1"/>
      <c r="AA6" s="1"/>
      <c r="AC6" s="1"/>
      <c r="AE6" s="1"/>
      <c r="AF6" s="1"/>
      <c r="AR6" s="1"/>
      <c r="AT6" s="1"/>
    </row>
    <row r="7" spans="1:47" ht="13.9" hidden="1" customHeight="1" x14ac:dyDescent="0.2">
      <c r="A7" s="1" t="s">
        <v>66</v>
      </c>
      <c r="B7" s="2">
        <v>25</v>
      </c>
      <c r="C7" s="1"/>
      <c r="E7" s="1"/>
      <c r="F7" s="1"/>
      <c r="G7" s="1"/>
      <c r="I7" s="1"/>
      <c r="J7" s="1"/>
      <c r="K7" s="1"/>
      <c r="L7" s="1"/>
      <c r="M7" s="1"/>
      <c r="N7" s="1"/>
      <c r="O7" s="1"/>
      <c r="S7" s="1"/>
      <c r="U7" s="1"/>
      <c r="W7" s="1"/>
      <c r="X7" s="1"/>
      <c r="Y7" s="1"/>
      <c r="Z7" s="1"/>
      <c r="AA7" s="1"/>
      <c r="AC7" s="1"/>
      <c r="AE7" s="1"/>
      <c r="AF7" s="1"/>
      <c r="AR7" s="1"/>
      <c r="AT7" s="1"/>
    </row>
    <row r="8" spans="1:47" ht="13.9" hidden="1" customHeight="1" x14ac:dyDescent="0.2">
      <c r="A8" s="1" t="s">
        <v>70</v>
      </c>
      <c r="B8" s="2">
        <v>100</v>
      </c>
      <c r="C8" s="1"/>
      <c r="E8" s="1"/>
      <c r="F8" s="1"/>
      <c r="G8" s="1"/>
      <c r="I8" s="1"/>
      <c r="J8" s="1"/>
      <c r="K8" s="1"/>
      <c r="L8" s="1"/>
      <c r="M8" s="1"/>
      <c r="N8" s="1"/>
      <c r="O8" s="1"/>
      <c r="S8" s="1"/>
      <c r="U8" s="1"/>
      <c r="W8" s="1"/>
      <c r="X8" s="1"/>
      <c r="Y8" s="1"/>
      <c r="Z8" s="1"/>
      <c r="AA8" s="1"/>
      <c r="AC8" s="1"/>
      <c r="AE8" s="1"/>
      <c r="AF8" s="1"/>
      <c r="AR8" s="1"/>
      <c r="AT8" s="1"/>
    </row>
    <row r="9" spans="1:47" ht="13.9" hidden="1" customHeight="1" x14ac:dyDescent="0.2">
      <c r="A9" s="1" t="s">
        <v>24</v>
      </c>
      <c r="B9" s="2">
        <v>12</v>
      </c>
      <c r="C9" s="1"/>
      <c r="E9" s="1"/>
      <c r="F9" s="1"/>
      <c r="G9" s="1"/>
      <c r="I9" s="1"/>
      <c r="J9" s="1"/>
      <c r="K9" s="1"/>
      <c r="L9" s="1"/>
      <c r="M9" s="1"/>
      <c r="N9" s="1"/>
      <c r="O9" s="1"/>
      <c r="S9" s="1"/>
      <c r="U9" s="1"/>
      <c r="W9" s="1"/>
      <c r="X9" s="1"/>
      <c r="Y9" s="1"/>
      <c r="Z9" s="1"/>
      <c r="AA9" s="1"/>
      <c r="AC9" s="1"/>
      <c r="AE9" s="1"/>
      <c r="AF9" s="1"/>
      <c r="AR9" s="1"/>
      <c r="AT9" s="1"/>
    </row>
    <row r="10" spans="1:47" ht="13.9" hidden="1" customHeight="1" x14ac:dyDescent="0.2">
      <c r="A10" s="1" t="s">
        <v>23</v>
      </c>
      <c r="B10" s="2">
        <v>150</v>
      </c>
      <c r="C10" s="1">
        <v>100</v>
      </c>
      <c r="E10" s="540">
        <v>2322</v>
      </c>
      <c r="F10" s="1">
        <f>IF(G18 = 2322,120,0)</f>
        <v>0</v>
      </c>
      <c r="G10" s="1">
        <v>120</v>
      </c>
      <c r="I10" s="1"/>
      <c r="J10" s="1"/>
      <c r="K10" s="1"/>
      <c r="L10" s="1"/>
      <c r="M10" s="1"/>
      <c r="N10" s="1"/>
      <c r="O10" s="1"/>
      <c r="S10" s="1"/>
      <c r="U10" s="1"/>
      <c r="W10" s="1"/>
      <c r="X10" s="1"/>
      <c r="Y10" s="1"/>
      <c r="Z10" s="1"/>
      <c r="AA10" s="1"/>
      <c r="AC10" s="1"/>
      <c r="AE10" s="1"/>
      <c r="AF10" s="1"/>
      <c r="AR10" s="1"/>
      <c r="AT10" s="1"/>
    </row>
    <row r="11" spans="1:47" ht="13.9" hidden="1" customHeight="1" x14ac:dyDescent="0.2">
      <c r="A11" s="1" t="s">
        <v>22</v>
      </c>
      <c r="B11" s="2"/>
      <c r="C11" s="1"/>
      <c r="E11" s="540">
        <v>3126</v>
      </c>
      <c r="F11" s="1">
        <f>IF(G18 = 3126,240,0)</f>
        <v>0</v>
      </c>
      <c r="G11" s="1">
        <v>240</v>
      </c>
      <c r="I11" s="1"/>
      <c r="J11" s="1"/>
      <c r="K11" s="1"/>
      <c r="L11" s="1"/>
      <c r="M11" s="1"/>
      <c r="N11" s="1"/>
      <c r="O11" s="1"/>
      <c r="S11" s="1"/>
      <c r="U11" s="1"/>
      <c r="W11" s="1"/>
      <c r="X11" s="1"/>
      <c r="Y11" s="1"/>
      <c r="Z11" s="1"/>
      <c r="AA11" s="1"/>
      <c r="AC11" s="1"/>
      <c r="AE11" s="1"/>
      <c r="AF11" s="1"/>
      <c r="AR11" s="1"/>
      <c r="AT11" s="1"/>
      <c r="AU11" s="15"/>
    </row>
    <row r="12" spans="1:47" ht="13.9" hidden="1" customHeight="1" x14ac:dyDescent="0.2">
      <c r="A12" s="1" t="s">
        <v>21</v>
      </c>
      <c r="B12" s="2">
        <v>50</v>
      </c>
      <c r="C12" s="1"/>
      <c r="E12" s="540">
        <v>3907</v>
      </c>
      <c r="F12" s="1">
        <f>IF(G18 = 3907,240,0)</f>
        <v>240</v>
      </c>
      <c r="G12" s="1">
        <v>240</v>
      </c>
      <c r="I12" s="1"/>
      <c r="J12" s="1"/>
      <c r="K12" s="1"/>
      <c r="L12" s="1"/>
      <c r="M12" s="1"/>
      <c r="N12" s="1"/>
      <c r="O12" s="1"/>
      <c r="S12" s="1"/>
      <c r="U12" s="1"/>
      <c r="W12" s="1"/>
      <c r="X12" s="1"/>
      <c r="Y12" s="1"/>
      <c r="Z12" s="1"/>
      <c r="AA12" s="1"/>
      <c r="AC12" s="1"/>
      <c r="AE12" s="1"/>
      <c r="AF12" s="1"/>
      <c r="AR12" s="1"/>
      <c r="AT12" s="1"/>
    </row>
    <row r="13" spans="1:47" ht="13.9" hidden="1" customHeight="1" x14ac:dyDescent="0.2">
      <c r="A13" s="1" t="s">
        <v>17</v>
      </c>
      <c r="B13" s="2">
        <v>41</v>
      </c>
      <c r="C13" s="1"/>
      <c r="E13" s="540">
        <v>3908</v>
      </c>
      <c r="F13" s="1">
        <f>IF(G18 = 3908,360,0)</f>
        <v>0</v>
      </c>
      <c r="G13" s="1">
        <v>360</v>
      </c>
      <c r="I13" s="1"/>
      <c r="J13" s="1"/>
      <c r="K13" s="1"/>
      <c r="L13" s="1"/>
      <c r="M13" s="1"/>
      <c r="N13" s="1"/>
      <c r="O13" s="1"/>
      <c r="S13" s="1"/>
      <c r="U13" s="1"/>
      <c r="W13" s="1"/>
      <c r="X13" s="1"/>
      <c r="Y13" s="1"/>
      <c r="Z13" s="1"/>
      <c r="AA13" s="1"/>
      <c r="AC13" s="1"/>
      <c r="AE13" s="1"/>
      <c r="AF13" s="1"/>
      <c r="AQ13" s="15"/>
      <c r="AR13" s="1"/>
      <c r="AT13" s="1"/>
    </row>
    <row r="14" spans="1:47" ht="13.9" hidden="1" customHeight="1" x14ac:dyDescent="0.2">
      <c r="A14" s="1" t="s">
        <v>60</v>
      </c>
      <c r="B14" s="2">
        <v>0</v>
      </c>
      <c r="C14" s="1"/>
      <c r="E14" s="540">
        <v>3909</v>
      </c>
      <c r="F14" s="1">
        <f>IF(G18 = 3909,480,0)</f>
        <v>0</v>
      </c>
      <c r="G14" s="1">
        <v>480</v>
      </c>
      <c r="I14" s="1"/>
      <c r="J14" s="1"/>
      <c r="K14" s="1"/>
      <c r="L14" s="1"/>
      <c r="M14" s="1"/>
      <c r="N14" s="1"/>
      <c r="O14" s="1"/>
      <c r="S14" s="1"/>
      <c r="U14" s="1"/>
      <c r="W14" s="1"/>
      <c r="X14" s="1"/>
      <c r="Y14" s="1"/>
      <c r="Z14" s="1"/>
      <c r="AA14" s="1"/>
      <c r="AC14" s="1"/>
      <c r="AE14" s="1"/>
      <c r="AF14" s="1"/>
      <c r="AN14" s="15"/>
      <c r="AR14" s="1"/>
      <c r="AT14" s="1"/>
    </row>
    <row r="15" spans="1:47" ht="13.9" hidden="1" customHeight="1" x14ac:dyDescent="0.2">
      <c r="A15" s="1" t="s">
        <v>62</v>
      </c>
      <c r="B15" s="2">
        <v>25</v>
      </c>
      <c r="C15" s="1"/>
      <c r="E15" s="1"/>
      <c r="F15" s="1"/>
      <c r="G15" s="1"/>
      <c r="I15" s="1"/>
      <c r="J15" s="1"/>
      <c r="K15" s="1"/>
      <c r="L15" s="1"/>
      <c r="M15" s="1"/>
      <c r="N15" s="1"/>
      <c r="O15" s="1"/>
      <c r="S15" s="1"/>
      <c r="U15" s="1"/>
      <c r="W15" s="1"/>
      <c r="X15" s="1"/>
      <c r="Y15" s="1"/>
      <c r="Z15" s="1"/>
      <c r="AA15" s="1"/>
      <c r="AC15" s="1"/>
      <c r="AE15" s="1"/>
      <c r="AF15" s="1"/>
      <c r="AR15" s="1"/>
      <c r="AT15" s="1"/>
    </row>
    <row r="16" spans="1:47" ht="13.9" hidden="1" customHeight="1" thickBot="1" x14ac:dyDescent="0.25">
      <c r="A16" s="1" t="s">
        <v>78</v>
      </c>
      <c r="B16" s="2">
        <v>150</v>
      </c>
      <c r="C16" s="1"/>
      <c r="E16" s="1"/>
      <c r="F16" s="1"/>
      <c r="G16" s="1"/>
      <c r="I16" s="1"/>
      <c r="J16" s="1"/>
      <c r="K16" s="1"/>
      <c r="L16" s="1"/>
      <c r="M16" s="1"/>
      <c r="N16" s="1"/>
      <c r="O16" s="1"/>
      <c r="S16" s="15"/>
      <c r="U16" s="1"/>
      <c r="W16" s="1"/>
      <c r="X16" s="1"/>
      <c r="Y16" s="1"/>
      <c r="Z16" s="1"/>
      <c r="AA16" s="1"/>
      <c r="AC16" s="1"/>
      <c r="AE16" s="1"/>
      <c r="AF16" s="1"/>
      <c r="AR16" s="1"/>
      <c r="AT16" s="1"/>
    </row>
    <row r="17" spans="1:61" ht="19.5" thickTop="1" thickBot="1" x14ac:dyDescent="0.3">
      <c r="A17" s="1"/>
      <c r="B17" s="2"/>
      <c r="C17" s="1"/>
      <c r="E17" s="1"/>
      <c r="F17" s="622" t="s">
        <v>134</v>
      </c>
      <c r="G17" s="623"/>
      <c r="I17" s="1"/>
      <c r="J17" s="1"/>
      <c r="K17" s="1"/>
      <c r="L17" s="1"/>
      <c r="M17" s="1"/>
      <c r="N17" s="1"/>
      <c r="O17" s="1"/>
      <c r="S17" s="1"/>
      <c r="U17" s="1"/>
      <c r="W17" s="1"/>
      <c r="X17" s="1"/>
      <c r="Y17" s="1"/>
      <c r="Z17" s="1"/>
      <c r="AA17" s="1"/>
      <c r="AC17" s="1"/>
      <c r="AE17" s="1"/>
      <c r="AF17" s="387"/>
      <c r="AG17" s="388"/>
      <c r="AH17" s="612" t="s">
        <v>75</v>
      </c>
      <c r="AI17" s="613"/>
      <c r="AJ17" s="616" t="s">
        <v>91</v>
      </c>
      <c r="AK17" s="617"/>
      <c r="AL17" s="617"/>
      <c r="AM17" s="618"/>
      <c r="AR17" s="1"/>
      <c r="AT17" s="1"/>
    </row>
    <row r="18" spans="1:61" ht="17.25" thickTop="1" thickBot="1" x14ac:dyDescent="0.25">
      <c r="A18" s="1"/>
      <c r="C18" s="1"/>
      <c r="E18" s="1"/>
      <c r="F18" s="541" t="s">
        <v>133</v>
      </c>
      <c r="G18" s="542">
        <v>3907</v>
      </c>
      <c r="I18" s="1"/>
      <c r="J18" s="577" t="s">
        <v>86</v>
      </c>
      <c r="K18" s="628"/>
      <c r="L18" s="577" t="s">
        <v>87</v>
      </c>
      <c r="M18" s="628"/>
      <c r="N18" s="621"/>
      <c r="O18" s="621"/>
      <c r="S18" s="1"/>
      <c r="U18" s="1"/>
      <c r="W18" s="1"/>
      <c r="X18" s="1"/>
      <c r="Y18" s="1"/>
      <c r="Z18" s="1"/>
      <c r="AA18" s="1"/>
      <c r="AC18" s="1"/>
      <c r="AE18" s="1"/>
      <c r="AF18" s="619" t="s">
        <v>39</v>
      </c>
      <c r="AG18" s="619"/>
      <c r="AH18" s="614"/>
      <c r="AI18" s="615"/>
      <c r="AJ18" s="610" t="s">
        <v>89</v>
      </c>
      <c r="AK18" s="611"/>
      <c r="AL18" s="610" t="s">
        <v>90</v>
      </c>
      <c r="AM18" s="611"/>
      <c r="AN18" s="608"/>
      <c r="AO18" s="609"/>
      <c r="AR18" s="1"/>
      <c r="AT18" s="1"/>
    </row>
    <row r="19" spans="1:61" ht="96.6" customHeight="1" thickTop="1" thickBot="1" x14ac:dyDescent="0.25">
      <c r="A19" s="393" t="s">
        <v>122</v>
      </c>
      <c r="B19" s="579" t="s">
        <v>5</v>
      </c>
      <c r="C19" s="579"/>
      <c r="D19" s="580" t="s">
        <v>6</v>
      </c>
      <c r="E19" s="580"/>
      <c r="F19" s="580" t="s">
        <v>135</v>
      </c>
      <c r="G19" s="580"/>
      <c r="H19" s="581" t="s">
        <v>123</v>
      </c>
      <c r="I19" s="582"/>
      <c r="J19" s="584" t="s">
        <v>120</v>
      </c>
      <c r="K19" s="584"/>
      <c r="L19" s="583" t="s">
        <v>120</v>
      </c>
      <c r="M19" s="583"/>
      <c r="N19" s="575" t="s">
        <v>119</v>
      </c>
      <c r="O19" s="576"/>
      <c r="P19" s="582" t="s">
        <v>118</v>
      </c>
      <c r="Q19" s="572"/>
      <c r="R19" s="573" t="s">
        <v>117</v>
      </c>
      <c r="S19" s="574"/>
      <c r="T19" s="571" t="s">
        <v>116</v>
      </c>
      <c r="U19" s="620"/>
      <c r="V19" s="573" t="s">
        <v>8</v>
      </c>
      <c r="W19" s="574"/>
      <c r="X19" s="569" t="s">
        <v>115</v>
      </c>
      <c r="Y19" s="570"/>
      <c r="Z19" s="592" t="s">
        <v>114</v>
      </c>
      <c r="AA19" s="576"/>
      <c r="AB19" s="582" t="s">
        <v>113</v>
      </c>
      <c r="AC19" s="572"/>
      <c r="AD19" s="573" t="s">
        <v>112</v>
      </c>
      <c r="AE19" s="574"/>
      <c r="AF19" s="569" t="s">
        <v>72</v>
      </c>
      <c r="AG19" s="570"/>
      <c r="AH19" s="592" t="s">
        <v>72</v>
      </c>
      <c r="AI19" s="575"/>
      <c r="AJ19" s="605" t="s">
        <v>72</v>
      </c>
      <c r="AK19" s="570"/>
      <c r="AL19" s="592" t="s">
        <v>72</v>
      </c>
      <c r="AM19" s="627"/>
      <c r="AN19" s="625" t="s">
        <v>56</v>
      </c>
      <c r="AO19" s="626"/>
      <c r="AP19" s="592" t="s">
        <v>111</v>
      </c>
      <c r="AQ19" s="576"/>
      <c r="AR19" s="569" t="s">
        <v>67</v>
      </c>
      <c r="AS19" s="570"/>
      <c r="AT19" s="592" t="s">
        <v>10</v>
      </c>
      <c r="AU19" s="576"/>
      <c r="AV19" s="581" t="s">
        <v>104</v>
      </c>
      <c r="AW19" s="581"/>
      <c r="AX19" s="624" t="s">
        <v>59</v>
      </c>
      <c r="AY19" s="624"/>
      <c r="AZ19" s="569" t="s">
        <v>110</v>
      </c>
      <c r="BA19" s="570"/>
      <c r="BB19" s="592" t="s">
        <v>108</v>
      </c>
      <c r="BC19" s="576"/>
      <c r="BD19" s="569" t="s">
        <v>107</v>
      </c>
      <c r="BE19" s="570"/>
      <c r="BF19" s="592" t="s">
        <v>121</v>
      </c>
      <c r="BG19" s="576"/>
      <c r="BH19" s="592" t="s">
        <v>109</v>
      </c>
      <c r="BI19" s="576"/>
    </row>
    <row r="20" spans="1:61" ht="25.5" thickTop="1" thickBot="1" x14ac:dyDescent="0.25">
      <c r="A20" s="394" t="s">
        <v>136</v>
      </c>
      <c r="B20" s="192" t="s">
        <v>37</v>
      </c>
      <c r="C20" s="164" t="s">
        <v>38</v>
      </c>
      <c r="D20" s="4" t="s">
        <v>37</v>
      </c>
      <c r="E20" s="434" t="s">
        <v>38</v>
      </c>
      <c r="F20" s="4" t="s">
        <v>37</v>
      </c>
      <c r="G20" s="434" t="s">
        <v>38</v>
      </c>
      <c r="H20" s="192" t="s">
        <v>37</v>
      </c>
      <c r="I20" s="166" t="s">
        <v>38</v>
      </c>
      <c r="J20" s="140" t="s">
        <v>37</v>
      </c>
      <c r="K20" s="470" t="s">
        <v>38</v>
      </c>
      <c r="L20" s="192" t="s">
        <v>37</v>
      </c>
      <c r="M20" s="182" t="s">
        <v>38</v>
      </c>
      <c r="N20" s="67" t="s">
        <v>37</v>
      </c>
      <c r="O20" s="85" t="s">
        <v>38</v>
      </c>
      <c r="P20" s="192" t="s">
        <v>37</v>
      </c>
      <c r="Q20" s="414" t="s">
        <v>38</v>
      </c>
      <c r="R20" s="67" t="s">
        <v>37</v>
      </c>
      <c r="S20" s="62" t="s">
        <v>38</v>
      </c>
      <c r="T20" s="164" t="s">
        <v>37</v>
      </c>
      <c r="U20" s="414" t="s">
        <v>38</v>
      </c>
      <c r="V20" s="67" t="s">
        <v>37</v>
      </c>
      <c r="W20" s="85" t="s">
        <v>38</v>
      </c>
      <c r="X20" s="192" t="s">
        <v>37</v>
      </c>
      <c r="Y20" s="164" t="s">
        <v>38</v>
      </c>
      <c r="Z20" s="62" t="s">
        <v>37</v>
      </c>
      <c r="AA20" s="85" t="s">
        <v>38</v>
      </c>
      <c r="AB20" s="192" t="s">
        <v>37</v>
      </c>
      <c r="AC20" s="414" t="s">
        <v>38</v>
      </c>
      <c r="AD20" s="67" t="s">
        <v>37</v>
      </c>
      <c r="AE20" s="85" t="s">
        <v>38</v>
      </c>
      <c r="AF20" s="192" t="s">
        <v>37</v>
      </c>
      <c r="AG20" s="414" t="s">
        <v>38</v>
      </c>
      <c r="AH20" s="67" t="s">
        <v>37</v>
      </c>
      <c r="AI20" s="100" t="s">
        <v>38</v>
      </c>
      <c r="AJ20" s="194" t="s">
        <v>37</v>
      </c>
      <c r="AK20" s="414" t="s">
        <v>38</v>
      </c>
      <c r="AL20" s="67" t="s">
        <v>37</v>
      </c>
      <c r="AM20" s="111" t="s">
        <v>38</v>
      </c>
      <c r="AN20" s="351" t="s">
        <v>37</v>
      </c>
      <c r="AO20" s="459" t="s">
        <v>38</v>
      </c>
      <c r="AP20" s="67" t="s">
        <v>37</v>
      </c>
      <c r="AQ20" s="85" t="s">
        <v>38</v>
      </c>
      <c r="AR20" s="192" t="s">
        <v>37</v>
      </c>
      <c r="AS20" s="414" t="s">
        <v>38</v>
      </c>
      <c r="AT20" s="67" t="s">
        <v>37</v>
      </c>
      <c r="AU20" s="85" t="s">
        <v>38</v>
      </c>
      <c r="AV20" s="192" t="s">
        <v>37</v>
      </c>
      <c r="AW20" s="414" t="s">
        <v>38</v>
      </c>
      <c r="AX20" s="67" t="s">
        <v>37</v>
      </c>
      <c r="AY20" s="85" t="s">
        <v>38</v>
      </c>
      <c r="AZ20" s="192" t="s">
        <v>37</v>
      </c>
      <c r="BA20" s="414" t="s">
        <v>38</v>
      </c>
      <c r="BB20" s="67" t="s">
        <v>37</v>
      </c>
      <c r="BC20" s="85" t="s">
        <v>38</v>
      </c>
      <c r="BD20" s="192" t="s">
        <v>37</v>
      </c>
      <c r="BE20" s="414" t="s">
        <v>38</v>
      </c>
      <c r="BF20" s="67" t="s">
        <v>37</v>
      </c>
      <c r="BG20" s="85" t="s">
        <v>38</v>
      </c>
      <c r="BH20" s="67" t="s">
        <v>37</v>
      </c>
      <c r="BI20" s="85" t="s">
        <v>38</v>
      </c>
    </row>
    <row r="21" spans="1:61" ht="13.5" thickTop="1" x14ac:dyDescent="0.2">
      <c r="A21" s="395"/>
      <c r="B21" s="376"/>
      <c r="C21" s="370"/>
      <c r="D21" s="6"/>
      <c r="E21" s="435"/>
      <c r="F21" s="6"/>
      <c r="G21" s="435"/>
      <c r="H21" s="430"/>
      <c r="I21" s="371"/>
      <c r="J21" s="123"/>
      <c r="K21" s="435"/>
      <c r="L21" s="430"/>
      <c r="M21" s="365"/>
      <c r="N21" s="68"/>
      <c r="O21" s="86"/>
      <c r="P21" s="352"/>
      <c r="Q21" s="415"/>
      <c r="R21" s="68"/>
      <c r="S21" s="86"/>
      <c r="T21" s="352"/>
      <c r="U21" s="415"/>
      <c r="V21" s="68"/>
      <c r="W21" s="86"/>
      <c r="X21" s="352"/>
      <c r="Y21" s="404"/>
      <c r="Z21" s="68"/>
      <c r="AA21" s="86"/>
      <c r="AB21" s="352"/>
      <c r="AC21" s="415"/>
      <c r="AD21" s="68"/>
      <c r="AE21" s="86"/>
      <c r="AF21" s="352"/>
      <c r="AG21" s="415"/>
      <c r="AH21" s="68"/>
      <c r="AI21" s="101"/>
      <c r="AJ21" s="360"/>
      <c r="AK21" s="415"/>
      <c r="AL21" s="68"/>
      <c r="AM21" s="112"/>
      <c r="AN21" s="352"/>
      <c r="AO21" s="415"/>
      <c r="AP21" s="68"/>
      <c r="AQ21" s="86"/>
      <c r="AR21" s="352"/>
      <c r="AS21" s="415"/>
      <c r="AT21" s="68"/>
      <c r="AU21" s="86"/>
      <c r="AV21" s="352"/>
      <c r="AW21" s="415"/>
      <c r="AX21" s="68"/>
      <c r="AY21" s="86"/>
      <c r="AZ21" s="352"/>
      <c r="BA21" s="415"/>
      <c r="BB21" s="68"/>
      <c r="BC21" s="86"/>
      <c r="BD21" s="352"/>
      <c r="BE21" s="415"/>
      <c r="BF21" s="68"/>
      <c r="BG21" s="86"/>
      <c r="BH21" s="352"/>
      <c r="BI21" s="415"/>
    </row>
    <row r="22" spans="1:61" x14ac:dyDescent="0.2">
      <c r="A22" s="20" t="s">
        <v>40</v>
      </c>
      <c r="B22" s="377">
        <f>A4+B5+B7+B14+IF(A4=0,-25,0)</f>
        <v>0</v>
      </c>
      <c r="C22" s="348">
        <f>B22*1.03</f>
        <v>0</v>
      </c>
      <c r="D22" s="18">
        <f>A4+B5+B6+B7+B14</f>
        <v>50</v>
      </c>
      <c r="E22" s="436">
        <f>D22*1.03</f>
        <v>51.5</v>
      </c>
      <c r="F22" s="18">
        <f>A4+B5+B6+B7+B14+F38</f>
        <v>290</v>
      </c>
      <c r="G22" s="436">
        <f>F22*1.03</f>
        <v>298.7</v>
      </c>
      <c r="H22" s="353">
        <f>A4+B5+B6+B7+B14</f>
        <v>50</v>
      </c>
      <c r="I22" s="372">
        <f>H22*1.03</f>
        <v>51.5</v>
      </c>
      <c r="J22" s="124">
        <f>A4+B5+B6+B7+C10+B14</f>
        <v>150</v>
      </c>
      <c r="K22" s="436">
        <f>J22*1.03</f>
        <v>154.5</v>
      </c>
      <c r="L22" s="353">
        <f>A4+B5+B6+B7+B10+B14</f>
        <v>200</v>
      </c>
      <c r="M22" s="366">
        <f>L22*1.03</f>
        <v>206</v>
      </c>
      <c r="N22" s="69">
        <f>B16</f>
        <v>150</v>
      </c>
      <c r="O22" s="98">
        <f>N22*1.03</f>
        <v>154.5</v>
      </c>
      <c r="P22" s="353">
        <f>A4</f>
        <v>0</v>
      </c>
      <c r="Q22" s="416">
        <f>P22*1.04</f>
        <v>0</v>
      </c>
      <c r="R22" s="80">
        <f>A4+B5+B6+B7+B14</f>
        <v>50</v>
      </c>
      <c r="S22" s="98">
        <f>(R22*1.03)</f>
        <v>51.5</v>
      </c>
      <c r="T22" s="353">
        <f>A4+B5+B6+B7+B14</f>
        <v>50</v>
      </c>
      <c r="U22" s="416">
        <f>T22*1.03</f>
        <v>51.5</v>
      </c>
      <c r="V22" s="80">
        <f>A4+B5+B6+B7+B14</f>
        <v>50</v>
      </c>
      <c r="W22" s="98">
        <f>V22*1.03</f>
        <v>51.5</v>
      </c>
      <c r="X22" s="353">
        <f>A4+B5+B6+B7+B12+B14</f>
        <v>100</v>
      </c>
      <c r="Y22" s="405">
        <f>X22*1.03</f>
        <v>103</v>
      </c>
      <c r="Z22" s="80">
        <f>A4+B5+B6+B7+B14</f>
        <v>50</v>
      </c>
      <c r="AA22" s="98">
        <f>Z22*1.03</f>
        <v>51.5</v>
      </c>
      <c r="AB22" s="353">
        <f>A4+B5+B6+B7+B14</f>
        <v>50</v>
      </c>
      <c r="AC22" s="416">
        <f>AB22*1.03</f>
        <v>51.5</v>
      </c>
      <c r="AD22" s="80">
        <f>A4+B5+B6+B7+B14</f>
        <v>50</v>
      </c>
      <c r="AE22" s="98">
        <f>AD22*1.03</f>
        <v>51.5</v>
      </c>
      <c r="AF22" s="353">
        <f>A4+B5+B6+B7+B8+B9</f>
        <v>162</v>
      </c>
      <c r="AG22" s="416">
        <f>AF22*1.03</f>
        <v>166.86</v>
      </c>
      <c r="AH22" s="80">
        <f>A4+B5+B6+B7+B8+B9+B14</f>
        <v>162</v>
      </c>
      <c r="AI22" s="102">
        <f>AH22*1.03</f>
        <v>166.86</v>
      </c>
      <c r="AJ22" s="361">
        <f>A4+B5+B6+B7+B8+B9+B14</f>
        <v>162</v>
      </c>
      <c r="AK22" s="416">
        <f>AJ22*1.03</f>
        <v>166.86</v>
      </c>
      <c r="AL22" s="428">
        <f>A4+B5+B6+B7+B8+B9+B14+B15</f>
        <v>187</v>
      </c>
      <c r="AM22" s="113">
        <f>AL22*1.03</f>
        <v>192.61</v>
      </c>
      <c r="AN22" s="353">
        <f>A4+B5+B7+B14</f>
        <v>25</v>
      </c>
      <c r="AO22" s="416">
        <f>AN22*1.03</f>
        <v>25.75</v>
      </c>
      <c r="AP22" s="80">
        <f>A4</f>
        <v>0</v>
      </c>
      <c r="AQ22" s="98">
        <f>AP22*1.03</f>
        <v>0</v>
      </c>
      <c r="AR22" s="353">
        <f>B13</f>
        <v>41</v>
      </c>
      <c r="AS22" s="416">
        <f>AR22*1.03</f>
        <v>42.230000000000004</v>
      </c>
      <c r="AT22" s="80">
        <f>A4+B5+B6+B7+B13+B14</f>
        <v>91</v>
      </c>
      <c r="AU22" s="98">
        <f>AT22*1.03</f>
        <v>93.73</v>
      </c>
      <c r="AV22" s="353">
        <f>A4+B5+B6+B7+B14</f>
        <v>50</v>
      </c>
      <c r="AW22" s="416">
        <f>AV22*1.03</f>
        <v>51.5</v>
      </c>
      <c r="AX22" s="80">
        <f>A4</f>
        <v>0</v>
      </c>
      <c r="AY22" s="98">
        <f>AX22*1.03</f>
        <v>0</v>
      </c>
      <c r="AZ22" s="353">
        <f>B4+B5+B6+B7+B14</f>
        <v>50</v>
      </c>
      <c r="BA22" s="416">
        <f>AZ22*1.03</f>
        <v>51.5</v>
      </c>
      <c r="BB22" s="80">
        <f>A4</f>
        <v>0</v>
      </c>
      <c r="BC22" s="98">
        <f>BB22*1.03</f>
        <v>0</v>
      </c>
      <c r="BD22" s="353">
        <f>A4+B5+B6+B7+B14</f>
        <v>50</v>
      </c>
      <c r="BE22" s="416">
        <f>BD22*1.03</f>
        <v>51.5</v>
      </c>
      <c r="BF22" s="428">
        <f>A4+B5+B6+B7+B14</f>
        <v>50</v>
      </c>
      <c r="BG22" s="98">
        <f>BF22*1.03</f>
        <v>51.5</v>
      </c>
      <c r="BH22" s="519">
        <f>A4+D5+D6+D7+D14</f>
        <v>0</v>
      </c>
      <c r="BI22" s="416">
        <f>BH22*1.03</f>
        <v>0</v>
      </c>
    </row>
    <row r="23" spans="1:61" x14ac:dyDescent="0.2">
      <c r="A23" s="20"/>
      <c r="B23" s="378"/>
      <c r="C23" s="153"/>
      <c r="D23" s="7"/>
      <c r="E23" s="437"/>
      <c r="F23" s="7"/>
      <c r="G23" s="437"/>
      <c r="H23" s="431"/>
      <c r="I23" s="168"/>
      <c r="J23" s="125"/>
      <c r="K23" s="437"/>
      <c r="L23" s="431"/>
      <c r="M23" s="389"/>
      <c r="N23" s="70"/>
      <c r="O23" s="87"/>
      <c r="P23" s="204"/>
      <c r="Q23" s="417"/>
      <c r="R23" s="70"/>
      <c r="S23" s="87"/>
      <c r="T23" s="204"/>
      <c r="U23" s="417"/>
      <c r="V23" s="70"/>
      <c r="W23" s="87"/>
      <c r="X23" s="204"/>
      <c r="Y23" s="406"/>
      <c r="Z23" s="70"/>
      <c r="AA23" s="87"/>
      <c r="AB23" s="204"/>
      <c r="AC23" s="417"/>
      <c r="AD23" s="70"/>
      <c r="AE23" s="87"/>
      <c r="AF23" s="204"/>
      <c r="AG23" s="417"/>
      <c r="AH23" s="70"/>
      <c r="AI23" s="103"/>
      <c r="AJ23" s="187"/>
      <c r="AK23" s="417"/>
      <c r="AL23" s="70"/>
      <c r="AM23" s="114"/>
      <c r="AN23" s="204"/>
      <c r="AO23" s="417"/>
      <c r="AP23" s="70"/>
      <c r="AQ23" s="87"/>
      <c r="AR23" s="204"/>
      <c r="AS23" s="417"/>
      <c r="AT23" s="70"/>
      <c r="AU23" s="87"/>
      <c r="AV23" s="204"/>
      <c r="AW23" s="417"/>
      <c r="AX23" s="70"/>
      <c r="AY23" s="87"/>
      <c r="AZ23" s="204"/>
      <c r="BA23" s="417"/>
      <c r="BB23" s="70"/>
      <c r="BC23" s="87"/>
      <c r="BD23" s="204"/>
      <c r="BE23" s="417"/>
      <c r="BF23" s="70"/>
      <c r="BG23" s="87"/>
      <c r="BH23" s="204"/>
      <c r="BI23" s="417"/>
    </row>
    <row r="24" spans="1:61" x14ac:dyDescent="0.2">
      <c r="A24" s="21" t="s">
        <v>58</v>
      </c>
      <c r="B24" s="379"/>
      <c r="C24" s="165">
        <f>C22/A2</f>
        <v>0</v>
      </c>
      <c r="D24" s="17"/>
      <c r="E24" s="438">
        <f>E22/A2</f>
        <v>12.875</v>
      </c>
      <c r="F24" s="17"/>
      <c r="G24" s="438">
        <f>G22/A2</f>
        <v>74.674999999999997</v>
      </c>
      <c r="H24" s="354"/>
      <c r="I24" s="169">
        <f>I22/A2</f>
        <v>12.875</v>
      </c>
      <c r="J24" s="126"/>
      <c r="K24" s="438">
        <f>K22/A2</f>
        <v>38.625</v>
      </c>
      <c r="L24" s="354"/>
      <c r="M24" s="183">
        <f>M22/A2</f>
        <v>51.5</v>
      </c>
      <c r="N24" s="71"/>
      <c r="O24" s="88">
        <f>O22/A2</f>
        <v>38.625</v>
      </c>
      <c r="P24" s="354"/>
      <c r="Q24" s="195">
        <f>Q22/A2</f>
        <v>0</v>
      </c>
      <c r="R24" s="71"/>
      <c r="S24" s="88">
        <f>S22/A2</f>
        <v>12.875</v>
      </c>
      <c r="T24" s="354"/>
      <c r="U24" s="195">
        <f>U22/A2</f>
        <v>12.875</v>
      </c>
      <c r="V24" s="71"/>
      <c r="W24" s="88">
        <f>W22/A2</f>
        <v>12.875</v>
      </c>
      <c r="X24" s="354"/>
      <c r="Y24" s="407">
        <f>Y22/A2</f>
        <v>25.75</v>
      </c>
      <c r="Z24" s="71"/>
      <c r="AA24" s="88">
        <f>AA22/A2</f>
        <v>12.875</v>
      </c>
      <c r="AB24" s="354"/>
      <c r="AC24" s="195">
        <f>AC22/A2</f>
        <v>12.875</v>
      </c>
      <c r="AD24" s="71"/>
      <c r="AE24" s="88">
        <f>AE22/A2</f>
        <v>12.875</v>
      </c>
      <c r="AF24" s="354"/>
      <c r="AG24" s="195">
        <f>AG22/A2</f>
        <v>41.715000000000003</v>
      </c>
      <c r="AH24" s="71"/>
      <c r="AI24" s="104">
        <f>AI22/A2</f>
        <v>41.715000000000003</v>
      </c>
      <c r="AJ24" s="362"/>
      <c r="AK24" s="195">
        <f>AK22/A2</f>
        <v>41.715000000000003</v>
      </c>
      <c r="AL24" s="71"/>
      <c r="AM24" s="115">
        <f>AM22/A2</f>
        <v>48.152500000000003</v>
      </c>
      <c r="AN24" s="354"/>
      <c r="AO24" s="195">
        <f>AO22/A2</f>
        <v>6.4375</v>
      </c>
      <c r="AP24" s="71"/>
      <c r="AQ24" s="88">
        <f>AQ22/A2</f>
        <v>0</v>
      </c>
      <c r="AR24" s="354"/>
      <c r="AS24" s="195">
        <f>AS26</f>
        <v>10.557500000000001</v>
      </c>
      <c r="AT24" s="71"/>
      <c r="AU24" s="88">
        <f>AU22/A2</f>
        <v>23.432500000000001</v>
      </c>
      <c r="AV24" s="354"/>
      <c r="AW24" s="195">
        <f>AW22/A2</f>
        <v>12.875</v>
      </c>
      <c r="AX24" s="71"/>
      <c r="AY24" s="88">
        <f>AY22/A2</f>
        <v>0</v>
      </c>
      <c r="AZ24" s="354"/>
      <c r="BA24" s="195">
        <f>BA22/A2</f>
        <v>12.875</v>
      </c>
      <c r="BB24" s="71"/>
      <c r="BC24" s="88">
        <f>BC22/A2</f>
        <v>0</v>
      </c>
      <c r="BD24" s="354"/>
      <c r="BE24" s="195">
        <f>BE22/A2</f>
        <v>12.875</v>
      </c>
      <c r="BF24" s="71"/>
      <c r="BG24" s="88">
        <f>BG22/A2</f>
        <v>12.875</v>
      </c>
      <c r="BH24" s="354"/>
      <c r="BI24" s="520">
        <f>BI22/A2</f>
        <v>0</v>
      </c>
    </row>
    <row r="25" spans="1:61" ht="13.5" thickBot="1" x14ac:dyDescent="0.25">
      <c r="A25" s="42"/>
      <c r="B25" s="380"/>
      <c r="C25" s="160"/>
      <c r="D25" s="19"/>
      <c r="E25" s="439"/>
      <c r="F25" s="19"/>
      <c r="G25" s="439"/>
      <c r="H25" s="429"/>
      <c r="I25" s="170"/>
      <c r="J25" s="127"/>
      <c r="K25" s="439"/>
      <c r="L25" s="429"/>
      <c r="M25" s="178"/>
      <c r="N25" s="72"/>
      <c r="O25" s="89"/>
      <c r="P25" s="202"/>
      <c r="Q25" s="418"/>
      <c r="R25" s="72"/>
      <c r="S25" s="89"/>
      <c r="T25" s="202"/>
      <c r="U25" s="418"/>
      <c r="V25" s="72"/>
      <c r="W25" s="89"/>
      <c r="X25" s="202"/>
      <c r="Y25" s="408"/>
      <c r="Z25" s="72"/>
      <c r="AA25" s="89"/>
      <c r="AB25" s="202"/>
      <c r="AC25" s="418"/>
      <c r="AD25" s="72"/>
      <c r="AE25" s="89"/>
      <c r="AF25" s="202"/>
      <c r="AG25" s="418"/>
      <c r="AH25" s="72"/>
      <c r="AI25" s="105"/>
      <c r="AJ25" s="188"/>
      <c r="AK25" s="418"/>
      <c r="AL25" s="72"/>
      <c r="AM25" s="116"/>
      <c r="AN25" s="202"/>
      <c r="AO25" s="418"/>
      <c r="AP25" s="72"/>
      <c r="AQ25" s="89"/>
      <c r="AR25" s="202"/>
      <c r="AS25" s="418"/>
      <c r="AT25" s="72"/>
      <c r="AU25" s="89"/>
      <c r="AV25" s="202"/>
      <c r="AW25" s="418"/>
      <c r="AX25" s="72"/>
      <c r="AY25" s="89"/>
      <c r="AZ25" s="202"/>
      <c r="BA25" s="418"/>
      <c r="BB25" s="72"/>
      <c r="BC25" s="89"/>
      <c r="BD25" s="202"/>
      <c r="BE25" s="418"/>
      <c r="BF25" s="72"/>
      <c r="BG25" s="89"/>
      <c r="BH25" s="202"/>
      <c r="BI25" s="418"/>
    </row>
    <row r="26" spans="1:61" ht="13.5" thickBot="1" x14ac:dyDescent="0.25">
      <c r="A26" s="44" t="s">
        <v>19</v>
      </c>
      <c r="B26" s="161">
        <f>SUM(B28:B40)</f>
        <v>0</v>
      </c>
      <c r="C26" s="161">
        <f>SUM(C27:C40)</f>
        <v>0</v>
      </c>
      <c r="D26" s="41">
        <f t="shared" ref="D26:N26" si="0">SUM(D28:D40)</f>
        <v>50</v>
      </c>
      <c r="E26" s="440">
        <f t="shared" si="0"/>
        <v>25.375</v>
      </c>
      <c r="F26" s="41">
        <f>SUM(F28:F41)</f>
        <v>290</v>
      </c>
      <c r="G26" s="440">
        <f>SUM(G28:G41)</f>
        <v>134.67500000000001</v>
      </c>
      <c r="H26" s="432">
        <f t="shared" si="0"/>
        <v>50</v>
      </c>
      <c r="I26" s="171">
        <f t="shared" si="0"/>
        <v>12.875</v>
      </c>
      <c r="J26" s="128">
        <f t="shared" si="0"/>
        <v>150</v>
      </c>
      <c r="K26" s="440">
        <f t="shared" si="0"/>
        <v>38.625</v>
      </c>
      <c r="L26" s="432">
        <f t="shared" si="0"/>
        <v>200</v>
      </c>
      <c r="M26" s="179">
        <f t="shared" si="0"/>
        <v>51.5</v>
      </c>
      <c r="N26" s="73">
        <f t="shared" si="0"/>
        <v>150</v>
      </c>
      <c r="O26" s="467">
        <f>SUM(O28:O37)</f>
        <v>38.625</v>
      </c>
      <c r="P26" s="203"/>
      <c r="Q26" s="419"/>
      <c r="R26" s="73">
        <f>SUM(R28:R40)</f>
        <v>50</v>
      </c>
      <c r="S26" s="90">
        <f>SUM(S28:S40)</f>
        <v>12.875</v>
      </c>
      <c r="T26" s="203">
        <f>SUM(T28:T40)</f>
        <v>50</v>
      </c>
      <c r="U26" s="419">
        <f t="shared" ref="U26:AB26" si="1">SUM(U27:U40)</f>
        <v>12.875</v>
      </c>
      <c r="V26" s="73">
        <f t="shared" si="1"/>
        <v>50</v>
      </c>
      <c r="W26" s="90">
        <f t="shared" si="1"/>
        <v>12.875</v>
      </c>
      <c r="X26" s="203">
        <f t="shared" si="1"/>
        <v>100</v>
      </c>
      <c r="Y26" s="409">
        <f t="shared" si="1"/>
        <v>25.75</v>
      </c>
      <c r="Z26" s="73">
        <f t="shared" si="1"/>
        <v>50</v>
      </c>
      <c r="AA26" s="90">
        <f t="shared" si="1"/>
        <v>12.875</v>
      </c>
      <c r="AB26" s="203">
        <f t="shared" si="1"/>
        <v>50</v>
      </c>
      <c r="AC26" s="419">
        <f>SUM(AC28:AC40)</f>
        <v>12.875</v>
      </c>
      <c r="AD26" s="73">
        <f t="shared" ref="AD26:AI26" si="2">SUM(AD27:AD40)</f>
        <v>50</v>
      </c>
      <c r="AE26" s="90">
        <f t="shared" si="2"/>
        <v>12.875</v>
      </c>
      <c r="AF26" s="203">
        <f t="shared" si="2"/>
        <v>162</v>
      </c>
      <c r="AG26" s="419">
        <f t="shared" si="2"/>
        <v>41.715000000000003</v>
      </c>
      <c r="AH26" s="73">
        <f t="shared" si="2"/>
        <v>162</v>
      </c>
      <c r="AI26" s="106">
        <f t="shared" si="2"/>
        <v>41.715000000000003</v>
      </c>
      <c r="AJ26" s="189">
        <f>SUM(AH27:AH40)</f>
        <v>162</v>
      </c>
      <c r="AK26" s="419">
        <f>SUM(AK27:AK40)</f>
        <v>41.715000000000003</v>
      </c>
      <c r="AL26" s="73">
        <f>SUM(AJ27:AJ40)</f>
        <v>162</v>
      </c>
      <c r="AM26" s="117">
        <f>SUM(AM27:AM40)</f>
        <v>41.902500000000003</v>
      </c>
      <c r="AN26" s="203">
        <f>SUM(AN27:AN40)</f>
        <v>25</v>
      </c>
      <c r="AO26" s="419">
        <f>SUM(AO27:AO40)</f>
        <v>6.4375</v>
      </c>
      <c r="AP26" s="73"/>
      <c r="AQ26" s="90"/>
      <c r="AR26" s="203">
        <f>SUM(AR27:AR40)</f>
        <v>41</v>
      </c>
      <c r="AS26" s="419">
        <f>SUM(AS27:AS40)</f>
        <v>10.557500000000001</v>
      </c>
      <c r="AT26" s="73">
        <f>SUM(AT27:AT40)</f>
        <v>91</v>
      </c>
      <c r="AU26" s="90">
        <f>SUM(AU27:AU40)</f>
        <v>23.432500000000001</v>
      </c>
      <c r="AV26" s="203">
        <f t="shared" ref="AV26:BA26" si="3">SUM(AV28:AV40)</f>
        <v>50</v>
      </c>
      <c r="AW26" s="419">
        <f t="shared" si="3"/>
        <v>12.875</v>
      </c>
      <c r="AX26" s="73">
        <f t="shared" si="3"/>
        <v>0</v>
      </c>
      <c r="AY26" s="90">
        <f t="shared" si="3"/>
        <v>0</v>
      </c>
      <c r="AZ26" s="203">
        <f t="shared" si="3"/>
        <v>50</v>
      </c>
      <c r="BA26" s="419">
        <f t="shared" si="3"/>
        <v>12.875</v>
      </c>
      <c r="BB26" s="489"/>
      <c r="BC26" s="486"/>
      <c r="BD26" s="203">
        <f t="shared" ref="BD26:BI26" si="4">SUM(BD27:BD40)</f>
        <v>50</v>
      </c>
      <c r="BE26" s="419">
        <f t="shared" si="4"/>
        <v>12.5</v>
      </c>
      <c r="BF26" s="73">
        <f t="shared" si="4"/>
        <v>50</v>
      </c>
      <c r="BG26" s="90">
        <f t="shared" si="4"/>
        <v>12.875</v>
      </c>
      <c r="BH26" s="489">
        <f t="shared" si="4"/>
        <v>0</v>
      </c>
      <c r="BI26" s="486">
        <f t="shared" si="4"/>
        <v>0</v>
      </c>
    </row>
    <row r="27" spans="1:61" x14ac:dyDescent="0.2">
      <c r="A27" s="43" t="s">
        <v>20</v>
      </c>
      <c r="B27" s="381"/>
      <c r="C27" s="162"/>
      <c r="D27" s="5"/>
      <c r="E27" s="441"/>
      <c r="F27" s="5"/>
      <c r="G27" s="441"/>
      <c r="H27" s="433"/>
      <c r="I27" s="167"/>
      <c r="J27" s="129"/>
      <c r="K27" s="441"/>
      <c r="L27" s="433"/>
      <c r="M27" s="181"/>
      <c r="N27" s="74"/>
      <c r="O27" s="91"/>
      <c r="P27" s="201"/>
      <c r="Q27" s="420"/>
      <c r="R27" s="74"/>
      <c r="S27" s="91"/>
      <c r="T27" s="201"/>
      <c r="U27" s="420"/>
      <c r="V27" s="74"/>
      <c r="W27" s="91"/>
      <c r="X27" s="201"/>
      <c r="Y27" s="410"/>
      <c r="Z27" s="74"/>
      <c r="AA27" s="91"/>
      <c r="AB27" s="201"/>
      <c r="AC27" s="420"/>
      <c r="AD27" s="74"/>
      <c r="AE27" s="91"/>
      <c r="AF27" s="201"/>
      <c r="AG27" s="420"/>
      <c r="AH27" s="74"/>
      <c r="AI27" s="107"/>
      <c r="AJ27" s="186"/>
      <c r="AK27" s="420"/>
      <c r="AL27" s="74"/>
      <c r="AM27" s="118"/>
      <c r="AN27" s="201"/>
      <c r="AO27" s="420"/>
      <c r="AP27" s="74"/>
      <c r="AQ27" s="91"/>
      <c r="AR27" s="201"/>
      <c r="AS27" s="420"/>
      <c r="AT27" s="74"/>
      <c r="AU27" s="91"/>
      <c r="AV27" s="201"/>
      <c r="AW27" s="420"/>
      <c r="AX27" s="74"/>
      <c r="AY27" s="91"/>
      <c r="AZ27" s="201"/>
      <c r="BA27" s="420"/>
      <c r="BB27" s="74"/>
      <c r="BC27" s="91"/>
      <c r="BD27" s="201"/>
      <c r="BE27" s="420"/>
      <c r="BF27" s="74"/>
      <c r="BG27" s="91"/>
      <c r="BH27" s="201"/>
      <c r="BI27" s="420"/>
    </row>
    <row r="28" spans="1:61" x14ac:dyDescent="0.2">
      <c r="A28" s="23" t="s">
        <v>124</v>
      </c>
      <c r="B28" s="516"/>
      <c r="C28" s="515">
        <f>(C22-B22)/A2</f>
        <v>0</v>
      </c>
      <c r="D28" s="7"/>
      <c r="E28" s="437">
        <f>(E22-B22)/A2</f>
        <v>12.875</v>
      </c>
      <c r="F28" s="7"/>
      <c r="G28" s="437">
        <f>(G22-D22)/A2</f>
        <v>62.174999999999997</v>
      </c>
      <c r="H28" s="431"/>
      <c r="I28" s="168">
        <f>(I22-H22)/A2</f>
        <v>0.375</v>
      </c>
      <c r="J28" s="125"/>
      <c r="K28" s="437">
        <f>(K22-J22)/A2</f>
        <v>1.125</v>
      </c>
      <c r="L28" s="431"/>
      <c r="M28" s="389">
        <f>(M22-L22)/A2</f>
        <v>1.5</v>
      </c>
      <c r="N28" s="70"/>
      <c r="O28" s="87">
        <f>(O22-N22)/A2</f>
        <v>1.125</v>
      </c>
      <c r="P28" s="477"/>
      <c r="Q28" s="510">
        <f>Q22/A2</f>
        <v>0</v>
      </c>
      <c r="R28" s="70"/>
      <c r="S28" s="87">
        <f>(S22-R22)/A2</f>
        <v>0.375</v>
      </c>
      <c r="T28" s="204"/>
      <c r="U28" s="417">
        <f>(U22-T22)/A2</f>
        <v>0.375</v>
      </c>
      <c r="V28" s="70"/>
      <c r="W28" s="87">
        <f>(W22-V22)/A2</f>
        <v>0.375</v>
      </c>
      <c r="X28" s="204"/>
      <c r="Y28" s="406">
        <f>(Y22-X22)/A2</f>
        <v>0.75</v>
      </c>
      <c r="Z28" s="70"/>
      <c r="AA28" s="87">
        <f>(AA22-Z22)/A2</f>
        <v>0.375</v>
      </c>
      <c r="AB28" s="204"/>
      <c r="AC28" s="417">
        <f>(AC22-AB22)/A2</f>
        <v>0.375</v>
      </c>
      <c r="AD28" s="70"/>
      <c r="AE28" s="87">
        <f>(AE22-AD22)/A2</f>
        <v>0.375</v>
      </c>
      <c r="AF28" s="204"/>
      <c r="AG28" s="417">
        <f>(AG22-AF22)/A2</f>
        <v>1.2150000000000034</v>
      </c>
      <c r="AH28" s="70"/>
      <c r="AI28" s="103">
        <f>(AI22-AH22)/A2</f>
        <v>1.2150000000000034</v>
      </c>
      <c r="AJ28" s="187"/>
      <c r="AK28" s="417">
        <f>(AK22-AJ22)/A2</f>
        <v>1.2150000000000034</v>
      </c>
      <c r="AL28" s="70"/>
      <c r="AM28" s="114">
        <f>(AM22-AL22)/A2</f>
        <v>1.4025000000000034</v>
      </c>
      <c r="AN28" s="204"/>
      <c r="AO28" s="417">
        <f>(AO22-AN22)/A2</f>
        <v>0.1875</v>
      </c>
      <c r="AP28" s="70"/>
      <c r="AQ28" s="87">
        <f>(AQ22-AP22)/A2</f>
        <v>0</v>
      </c>
      <c r="AR28" s="204"/>
      <c r="AS28" s="417">
        <f>(AS22-AR22)/A2</f>
        <v>0.30750000000000099</v>
      </c>
      <c r="AT28" s="70"/>
      <c r="AU28" s="87">
        <f>(AU22-AT22)/A2</f>
        <v>0.68250000000000099</v>
      </c>
      <c r="AV28" s="204"/>
      <c r="AW28" s="417">
        <f>(AW22-AV22)/A2</f>
        <v>0.375</v>
      </c>
      <c r="AX28" s="70"/>
      <c r="AY28" s="87">
        <f>(AY22-AX22)/A2</f>
        <v>0</v>
      </c>
      <c r="AZ28" s="204"/>
      <c r="BA28" s="417">
        <f>(BA22-AZ22)/A2</f>
        <v>0.375</v>
      </c>
      <c r="BB28" s="70"/>
      <c r="BC28" s="87">
        <f>(BC22-BB22)/A2</f>
        <v>0</v>
      </c>
      <c r="BD28" s="204"/>
      <c r="BE28" s="417">
        <f>(C22-B22)/A2</f>
        <v>0</v>
      </c>
      <c r="BF28" s="70"/>
      <c r="BG28" s="87">
        <f>(BG22-BF22)/A2</f>
        <v>0.375</v>
      </c>
      <c r="BH28" s="204"/>
      <c r="BI28" s="417">
        <f>(BI22-BH22)/A2</f>
        <v>0</v>
      </c>
    </row>
    <row r="29" spans="1:61" x14ac:dyDescent="0.2">
      <c r="A29" s="24" t="s">
        <v>68</v>
      </c>
      <c r="B29" s="378"/>
      <c r="C29" s="153"/>
      <c r="D29" s="515">
        <f>B6</f>
        <v>25</v>
      </c>
      <c r="E29" s="510">
        <f>B6/A2</f>
        <v>6.25</v>
      </c>
      <c r="F29" s="515">
        <f>B6</f>
        <v>25</v>
      </c>
      <c r="G29" s="510">
        <f>B6/A2</f>
        <v>6.25</v>
      </c>
      <c r="H29" s="446">
        <f>B6</f>
        <v>25</v>
      </c>
      <c r="I29" s="373">
        <f>B6/A2</f>
        <v>6.25</v>
      </c>
      <c r="J29" s="125">
        <f>B6</f>
        <v>25</v>
      </c>
      <c r="K29" s="437">
        <f>B6/A2</f>
        <v>6.25</v>
      </c>
      <c r="L29" s="431">
        <f>B6</f>
        <v>25</v>
      </c>
      <c r="M29" s="389">
        <f>B6/A2</f>
        <v>6.25</v>
      </c>
      <c r="N29" s="70"/>
      <c r="O29" s="87"/>
      <c r="P29" s="204"/>
      <c r="Q29" s="417"/>
      <c r="R29" s="70">
        <f>B6</f>
        <v>25</v>
      </c>
      <c r="S29" s="87">
        <f>B6/A2</f>
        <v>6.25</v>
      </c>
      <c r="T29" s="204">
        <f>B6</f>
        <v>25</v>
      </c>
      <c r="U29" s="417">
        <f>B6/A2</f>
        <v>6.25</v>
      </c>
      <c r="V29" s="70">
        <f>B6</f>
        <v>25</v>
      </c>
      <c r="W29" s="87">
        <f>B6/A2</f>
        <v>6.25</v>
      </c>
      <c r="X29" s="204">
        <f>B6</f>
        <v>25</v>
      </c>
      <c r="Y29" s="406">
        <f>B6/A2</f>
        <v>6.25</v>
      </c>
      <c r="Z29" s="70">
        <f>B6</f>
        <v>25</v>
      </c>
      <c r="AA29" s="87">
        <f>B6/A2</f>
        <v>6.25</v>
      </c>
      <c r="AB29" s="204">
        <f>B6</f>
        <v>25</v>
      </c>
      <c r="AC29" s="417">
        <f>B6/A2</f>
        <v>6.25</v>
      </c>
      <c r="AD29" s="70">
        <f>B6</f>
        <v>25</v>
      </c>
      <c r="AE29" s="87">
        <f>B6/A2</f>
        <v>6.25</v>
      </c>
      <c r="AF29" s="204">
        <f>B6</f>
        <v>25</v>
      </c>
      <c r="AG29" s="417">
        <f>B6/A2</f>
        <v>6.25</v>
      </c>
      <c r="AH29" s="70">
        <f>B6</f>
        <v>25</v>
      </c>
      <c r="AI29" s="103">
        <f>B6/A2</f>
        <v>6.25</v>
      </c>
      <c r="AJ29" s="187">
        <f>B6</f>
        <v>25</v>
      </c>
      <c r="AK29" s="417">
        <f>B6/A2</f>
        <v>6.25</v>
      </c>
      <c r="AL29" s="70">
        <f>B6</f>
        <v>25</v>
      </c>
      <c r="AM29" s="114">
        <f>D6/A2</f>
        <v>0</v>
      </c>
      <c r="AN29" s="204"/>
      <c r="AO29" s="417"/>
      <c r="AP29" s="458"/>
      <c r="AQ29" s="457"/>
      <c r="AR29" s="204"/>
      <c r="AS29" s="417"/>
      <c r="AT29" s="477">
        <f>B6</f>
        <v>25</v>
      </c>
      <c r="AU29" s="478">
        <f>B6/A2</f>
        <v>6.25</v>
      </c>
      <c r="AV29" s="477">
        <f>B6</f>
        <v>25</v>
      </c>
      <c r="AW29" s="488">
        <f>B6/A2</f>
        <v>6.25</v>
      </c>
      <c r="AX29" s="479"/>
      <c r="AY29" s="494"/>
      <c r="AZ29" s="204">
        <f>B6</f>
        <v>25</v>
      </c>
      <c r="BA29" s="422">
        <f>B6/A2</f>
        <v>6.25</v>
      </c>
      <c r="BB29" s="400"/>
      <c r="BC29" s="350"/>
      <c r="BD29" s="204">
        <f>B6</f>
        <v>25</v>
      </c>
      <c r="BE29" s="417">
        <f>B6/A2</f>
        <v>6.25</v>
      </c>
      <c r="BF29" s="70">
        <f>B6</f>
        <v>25</v>
      </c>
      <c r="BG29" s="476">
        <f>B6/A2</f>
        <v>6.25</v>
      </c>
      <c r="BH29" s="477"/>
      <c r="BI29" s="488"/>
    </row>
    <row r="30" spans="1:61" x14ac:dyDescent="0.2">
      <c r="A30" s="24" t="s">
        <v>29</v>
      </c>
      <c r="B30" s="378">
        <f>B7+IF(A4=0,-25,0)</f>
        <v>0</v>
      </c>
      <c r="C30" s="153">
        <f>B30/A2</f>
        <v>0</v>
      </c>
      <c r="D30" s="7">
        <f>B7</f>
        <v>25</v>
      </c>
      <c r="E30" s="437">
        <f>B7/A2</f>
        <v>6.25</v>
      </c>
      <c r="F30" s="7">
        <f>B7</f>
        <v>25</v>
      </c>
      <c r="G30" s="437">
        <f>B7/A2</f>
        <v>6.25</v>
      </c>
      <c r="H30" s="446">
        <f>B7</f>
        <v>25</v>
      </c>
      <c r="I30" s="373">
        <f>B7/A2</f>
        <v>6.25</v>
      </c>
      <c r="J30" s="125">
        <f>B7</f>
        <v>25</v>
      </c>
      <c r="K30" s="437">
        <f>B7/A2</f>
        <v>6.25</v>
      </c>
      <c r="L30" s="431">
        <f>B7</f>
        <v>25</v>
      </c>
      <c r="M30" s="389">
        <f>B7/A2</f>
        <v>6.25</v>
      </c>
      <c r="N30" s="70"/>
      <c r="O30" s="87"/>
      <c r="P30" s="204"/>
      <c r="Q30" s="417"/>
      <c r="R30" s="70">
        <f>B7</f>
        <v>25</v>
      </c>
      <c r="S30" s="87">
        <f>B7/A2</f>
        <v>6.25</v>
      </c>
      <c r="T30" s="204">
        <f>B7</f>
        <v>25</v>
      </c>
      <c r="U30" s="417">
        <f>B7/A2</f>
        <v>6.25</v>
      </c>
      <c r="V30" s="70">
        <f>B7</f>
        <v>25</v>
      </c>
      <c r="W30" s="87">
        <f>B7/A2</f>
        <v>6.25</v>
      </c>
      <c r="X30" s="204">
        <f>B7</f>
        <v>25</v>
      </c>
      <c r="Y30" s="406">
        <f>B7/A2</f>
        <v>6.25</v>
      </c>
      <c r="Z30" s="70">
        <f>B7</f>
        <v>25</v>
      </c>
      <c r="AA30" s="87">
        <f>B7/A2</f>
        <v>6.25</v>
      </c>
      <c r="AB30" s="204">
        <f>B7</f>
        <v>25</v>
      </c>
      <c r="AC30" s="417">
        <f>B7/A2</f>
        <v>6.25</v>
      </c>
      <c r="AD30" s="70">
        <f>B7</f>
        <v>25</v>
      </c>
      <c r="AE30" s="87">
        <f>B7/A2</f>
        <v>6.25</v>
      </c>
      <c r="AF30" s="204">
        <f>B7</f>
        <v>25</v>
      </c>
      <c r="AG30" s="417">
        <f>B7/A2</f>
        <v>6.25</v>
      </c>
      <c r="AH30" s="70">
        <f>B7</f>
        <v>25</v>
      </c>
      <c r="AI30" s="103">
        <f>B7/A2</f>
        <v>6.25</v>
      </c>
      <c r="AJ30" s="187">
        <f>B7</f>
        <v>25</v>
      </c>
      <c r="AK30" s="417">
        <f>B7/A2</f>
        <v>6.25</v>
      </c>
      <c r="AL30" s="70">
        <f>B7</f>
        <v>25</v>
      </c>
      <c r="AM30" s="135">
        <f>B7/A2</f>
        <v>6.25</v>
      </c>
      <c r="AN30" s="204">
        <f>B7</f>
        <v>25</v>
      </c>
      <c r="AO30" s="417">
        <f>B7/A2</f>
        <v>6.25</v>
      </c>
      <c r="AP30" s="458"/>
      <c r="AQ30" s="457"/>
      <c r="AR30" s="204"/>
      <c r="AS30" s="417"/>
      <c r="AT30" s="477">
        <f>B7</f>
        <v>25</v>
      </c>
      <c r="AU30" s="478">
        <f>B7/A2</f>
        <v>6.25</v>
      </c>
      <c r="AV30" s="477">
        <f>B7</f>
        <v>25</v>
      </c>
      <c r="AW30" s="488">
        <f>B7/A2</f>
        <v>6.25</v>
      </c>
      <c r="AX30" s="479"/>
      <c r="AY30" s="494"/>
      <c r="AZ30" s="204">
        <f>B7</f>
        <v>25</v>
      </c>
      <c r="BA30" s="422">
        <f>B7/A2</f>
        <v>6.25</v>
      </c>
      <c r="BB30" s="400"/>
      <c r="BC30" s="350"/>
      <c r="BD30" s="204">
        <f>B7</f>
        <v>25</v>
      </c>
      <c r="BE30" s="417">
        <f>B7/A2</f>
        <v>6.25</v>
      </c>
      <c r="BF30" s="70">
        <f>B7</f>
        <v>25</v>
      </c>
      <c r="BG30" s="87">
        <f>B7/A2</f>
        <v>6.25</v>
      </c>
      <c r="BH30" s="477"/>
      <c r="BI30" s="478"/>
    </row>
    <row r="31" spans="1:61" x14ac:dyDescent="0.2">
      <c r="A31" s="24" t="s">
        <v>81</v>
      </c>
      <c r="B31" s="378"/>
      <c r="C31" s="153"/>
      <c r="D31" s="7"/>
      <c r="E31" s="437"/>
      <c r="F31" s="7"/>
      <c r="G31" s="437"/>
      <c r="H31" s="431"/>
      <c r="I31" s="168"/>
      <c r="J31" s="125"/>
      <c r="K31" s="437"/>
      <c r="L31" s="431"/>
      <c r="M31" s="389"/>
      <c r="N31" s="70"/>
      <c r="O31" s="87"/>
      <c r="P31" s="204"/>
      <c r="Q31" s="417"/>
      <c r="R31" s="70"/>
      <c r="S31" s="87"/>
      <c r="T31" s="204"/>
      <c r="U31" s="417"/>
      <c r="V31" s="70"/>
      <c r="W31" s="87"/>
      <c r="X31" s="204"/>
      <c r="Y31" s="406"/>
      <c r="Z31" s="70"/>
      <c r="AA31" s="87"/>
      <c r="AB31" s="204"/>
      <c r="AC31" s="417"/>
      <c r="AD31" s="70"/>
      <c r="AE31" s="87"/>
      <c r="AF31" s="479">
        <f>B8</f>
        <v>100</v>
      </c>
      <c r="AG31" s="478">
        <f>B8/A2</f>
        <v>25</v>
      </c>
      <c r="AH31" s="479">
        <f>B8</f>
        <v>100</v>
      </c>
      <c r="AI31" s="504">
        <f>B8/A2</f>
        <v>25</v>
      </c>
      <c r="AJ31" s="505">
        <f>B8</f>
        <v>100</v>
      </c>
      <c r="AK31" s="478">
        <f>B8/A2</f>
        <v>25</v>
      </c>
      <c r="AL31" s="477">
        <f>B8</f>
        <v>100</v>
      </c>
      <c r="AM31" s="503">
        <f>B8/A2</f>
        <v>25</v>
      </c>
      <c r="AN31" s="204"/>
      <c r="AO31" s="417"/>
      <c r="AP31" s="70"/>
      <c r="AQ31" s="87"/>
      <c r="AR31" s="204"/>
      <c r="AS31" s="417"/>
      <c r="AT31" s="70"/>
      <c r="AU31" s="87"/>
      <c r="AV31" s="204"/>
      <c r="AW31" s="417"/>
      <c r="AX31" s="70"/>
      <c r="AY31" s="87"/>
      <c r="AZ31" s="204"/>
      <c r="BA31" s="417"/>
      <c r="BB31" s="70"/>
      <c r="BC31" s="87"/>
      <c r="BD31" s="204"/>
      <c r="BE31" s="417"/>
      <c r="BF31" s="70"/>
      <c r="BG31" s="87"/>
      <c r="BH31" s="204"/>
      <c r="BI31" s="417"/>
    </row>
    <row r="32" spans="1:61" x14ac:dyDescent="0.2">
      <c r="A32" s="24" t="s">
        <v>31</v>
      </c>
      <c r="B32" s="378"/>
      <c r="C32" s="153"/>
      <c r="D32" s="7"/>
      <c r="E32" s="437"/>
      <c r="F32" s="7"/>
      <c r="G32" s="437"/>
      <c r="H32" s="431"/>
      <c r="I32" s="168"/>
      <c r="J32" s="125"/>
      <c r="K32" s="437"/>
      <c r="L32" s="431"/>
      <c r="M32" s="389"/>
      <c r="N32" s="70"/>
      <c r="O32" s="87"/>
      <c r="P32" s="204"/>
      <c r="Q32" s="417"/>
      <c r="R32" s="70"/>
      <c r="S32" s="87"/>
      <c r="T32" s="204"/>
      <c r="U32" s="417"/>
      <c r="V32" s="70"/>
      <c r="W32" s="87"/>
      <c r="X32" s="204"/>
      <c r="Y32" s="406"/>
      <c r="Z32" s="70"/>
      <c r="AA32" s="87"/>
      <c r="AB32" s="204"/>
      <c r="AC32" s="417"/>
      <c r="AD32" s="70"/>
      <c r="AE32" s="87"/>
      <c r="AF32" s="479">
        <f>B9</f>
        <v>12</v>
      </c>
      <c r="AG32" s="478">
        <f>B9/A2</f>
        <v>3</v>
      </c>
      <c r="AH32" s="479">
        <f>B9</f>
        <v>12</v>
      </c>
      <c r="AI32" s="504">
        <f>B9/A2</f>
        <v>3</v>
      </c>
      <c r="AJ32" s="505">
        <f>B9</f>
        <v>12</v>
      </c>
      <c r="AK32" s="478">
        <f>B9/A2</f>
        <v>3</v>
      </c>
      <c r="AL32" s="477">
        <f>B9</f>
        <v>12</v>
      </c>
      <c r="AM32" s="503">
        <f>B9/A2</f>
        <v>3</v>
      </c>
      <c r="AN32" s="204"/>
      <c r="AO32" s="417"/>
      <c r="AP32" s="70"/>
      <c r="AQ32" s="87"/>
      <c r="AR32" s="204"/>
      <c r="AS32" s="417"/>
      <c r="AT32" s="70"/>
      <c r="AU32" s="87"/>
      <c r="AV32" s="204"/>
      <c r="AW32" s="417"/>
      <c r="AX32" s="70"/>
      <c r="AY32" s="87"/>
      <c r="AZ32" s="204"/>
      <c r="BA32" s="417"/>
      <c r="BB32" s="70"/>
      <c r="BC32" s="87"/>
      <c r="BD32" s="204"/>
      <c r="BE32" s="417"/>
      <c r="BF32" s="70"/>
      <c r="BG32" s="87"/>
      <c r="BH32" s="204"/>
      <c r="BI32" s="417"/>
    </row>
    <row r="33" spans="1:61" x14ac:dyDescent="0.2">
      <c r="A33" s="24" t="s">
        <v>88</v>
      </c>
      <c r="B33" s="378"/>
      <c r="C33" s="153"/>
      <c r="D33" s="7"/>
      <c r="E33" s="437"/>
      <c r="F33" s="7"/>
      <c r="G33" s="437"/>
      <c r="H33" s="431"/>
      <c r="I33" s="168"/>
      <c r="J33" s="141">
        <f>C10</f>
        <v>100</v>
      </c>
      <c r="K33" s="442">
        <f>C10/A2</f>
        <v>25</v>
      </c>
      <c r="L33" s="513">
        <f>B10</f>
        <v>150</v>
      </c>
      <c r="M33" s="514">
        <f>B10/A2</f>
        <v>37.5</v>
      </c>
      <c r="N33" s="70"/>
      <c r="O33" s="87"/>
      <c r="P33" s="204"/>
      <c r="Q33" s="417"/>
      <c r="R33" s="70"/>
      <c r="S33" s="87"/>
      <c r="T33" s="204"/>
      <c r="U33" s="417"/>
      <c r="V33" s="70"/>
      <c r="W33" s="87"/>
      <c r="X33" s="204"/>
      <c r="Y33" s="406"/>
      <c r="Z33" s="70"/>
      <c r="AA33" s="87"/>
      <c r="AB33" s="204"/>
      <c r="AC33" s="417"/>
      <c r="AD33" s="70"/>
      <c r="AE33" s="87"/>
      <c r="AF33" s="204"/>
      <c r="AG33" s="417"/>
      <c r="AH33" s="70"/>
      <c r="AI33" s="103"/>
      <c r="AJ33" s="187"/>
      <c r="AK33" s="417"/>
      <c r="AL33" s="70"/>
      <c r="AM33" s="114"/>
      <c r="AN33" s="204"/>
      <c r="AO33" s="417"/>
      <c r="AP33" s="70"/>
      <c r="AQ33" s="87"/>
      <c r="AR33" s="204"/>
      <c r="AS33" s="417"/>
      <c r="AT33" s="70"/>
      <c r="AU33" s="87"/>
      <c r="AV33" s="204"/>
      <c r="AW33" s="417"/>
      <c r="AX33" s="70"/>
      <c r="AY33" s="87"/>
      <c r="AZ33" s="204"/>
      <c r="BA33" s="417"/>
      <c r="BB33" s="70"/>
      <c r="BC33" s="87"/>
      <c r="BD33" s="204"/>
      <c r="BE33" s="417"/>
      <c r="BF33" s="70"/>
      <c r="BG33" s="87"/>
      <c r="BH33" s="204"/>
      <c r="BI33" s="417"/>
    </row>
    <row r="34" spans="1:61" x14ac:dyDescent="0.2">
      <c r="A34" s="24" t="s">
        <v>42</v>
      </c>
      <c r="B34" s="378"/>
      <c r="C34" s="153"/>
      <c r="D34" s="7"/>
      <c r="E34" s="437"/>
      <c r="F34" s="7"/>
      <c r="G34" s="437"/>
      <c r="H34" s="431"/>
      <c r="I34" s="168"/>
      <c r="J34" s="125"/>
      <c r="K34" s="437"/>
      <c r="L34" s="431"/>
      <c r="M34" s="389"/>
      <c r="N34" s="70"/>
      <c r="O34" s="87"/>
      <c r="P34" s="204"/>
      <c r="Q34" s="417"/>
      <c r="R34" s="70"/>
      <c r="S34" s="87"/>
      <c r="T34" s="204"/>
      <c r="U34" s="417"/>
      <c r="V34" s="70"/>
      <c r="W34" s="87"/>
      <c r="X34" s="479">
        <f>B12</f>
        <v>50</v>
      </c>
      <c r="Y34" s="508">
        <f>X34/A2</f>
        <v>12.5</v>
      </c>
      <c r="Z34" s="70"/>
      <c r="AA34" s="87"/>
      <c r="AB34" s="204"/>
      <c r="AC34" s="417"/>
      <c r="AD34" s="70"/>
      <c r="AE34" s="87"/>
      <c r="AF34" s="204"/>
      <c r="AG34" s="417"/>
      <c r="AH34" s="70"/>
      <c r="AI34" s="103"/>
      <c r="AJ34" s="187"/>
      <c r="AK34" s="417"/>
      <c r="AL34" s="70"/>
      <c r="AM34" s="114"/>
      <c r="AN34" s="204"/>
      <c r="AO34" s="417"/>
      <c r="AP34" s="70"/>
      <c r="AQ34" s="87"/>
      <c r="AR34" s="204"/>
      <c r="AS34" s="417"/>
      <c r="AT34" s="70"/>
      <c r="AU34" s="87"/>
      <c r="AV34" s="204"/>
      <c r="AW34" s="417"/>
      <c r="AX34" s="70"/>
      <c r="AY34" s="87"/>
      <c r="AZ34" s="204"/>
      <c r="BA34" s="417"/>
      <c r="BB34" s="70"/>
      <c r="BC34" s="87"/>
      <c r="BD34" s="204"/>
      <c r="BE34" s="417"/>
      <c r="BF34" s="70"/>
      <c r="BG34" s="87"/>
      <c r="BH34" s="204"/>
      <c r="BI34" s="417"/>
    </row>
    <row r="35" spans="1:61" x14ac:dyDescent="0.2">
      <c r="A35" s="32" t="s">
        <v>63</v>
      </c>
      <c r="B35" s="382"/>
      <c r="C35" s="158"/>
      <c r="D35" s="10"/>
      <c r="E35" s="28"/>
      <c r="F35" s="10"/>
      <c r="G35" s="28"/>
      <c r="H35" s="207"/>
      <c r="I35" s="172"/>
      <c r="J35" s="137"/>
      <c r="K35" s="28"/>
      <c r="L35" s="207"/>
      <c r="M35" s="176"/>
      <c r="N35" s="75"/>
      <c r="O35" s="92"/>
      <c r="P35" s="207"/>
      <c r="Q35" s="196"/>
      <c r="R35" s="75"/>
      <c r="S35" s="92"/>
      <c r="T35" s="207"/>
      <c r="U35" s="196"/>
      <c r="V35" s="75"/>
      <c r="W35" s="92"/>
      <c r="X35" s="207"/>
      <c r="Y35" s="464"/>
      <c r="Z35" s="75"/>
      <c r="AA35" s="92"/>
      <c r="AB35" s="207"/>
      <c r="AC35" s="196"/>
      <c r="AD35" s="75"/>
      <c r="AE35" s="92"/>
      <c r="AF35" s="207"/>
      <c r="AG35" s="196"/>
      <c r="AH35" s="75"/>
      <c r="AI35" s="108"/>
      <c r="AJ35" s="134"/>
      <c r="AK35" s="97"/>
      <c r="AL35" s="495">
        <f>B15</f>
        <v>25</v>
      </c>
      <c r="AM35" s="500">
        <f>B15/A2</f>
        <v>6.25</v>
      </c>
      <c r="AN35" s="207"/>
      <c r="AO35" s="196"/>
      <c r="AP35" s="75"/>
      <c r="AQ35" s="92"/>
      <c r="AR35" s="207"/>
      <c r="AS35" s="196"/>
      <c r="AT35" s="75"/>
      <c r="AU35" s="92"/>
      <c r="AV35" s="207"/>
      <c r="AW35" s="196"/>
      <c r="AX35" s="75"/>
      <c r="AY35" s="92"/>
      <c r="AZ35" s="207"/>
      <c r="BA35" s="196"/>
      <c r="BB35" s="75"/>
      <c r="BC35" s="92"/>
      <c r="BD35" s="207"/>
      <c r="BE35" s="196"/>
      <c r="BF35" s="75"/>
      <c r="BG35" s="92"/>
      <c r="BH35" s="207"/>
      <c r="BI35" s="196"/>
    </row>
    <row r="36" spans="1:61" x14ac:dyDescent="0.2">
      <c r="A36" s="33" t="s">
        <v>125</v>
      </c>
      <c r="B36" s="382"/>
      <c r="C36" s="158"/>
      <c r="D36" s="8"/>
      <c r="E36" s="443"/>
      <c r="F36" s="8"/>
      <c r="G36" s="443"/>
      <c r="H36" s="207"/>
      <c r="I36" s="172"/>
      <c r="J36" s="130"/>
      <c r="K36" s="443"/>
      <c r="L36" s="207"/>
      <c r="M36" s="176"/>
      <c r="N36" s="75"/>
      <c r="O36" s="92"/>
      <c r="P36" s="207"/>
      <c r="Q36" s="196"/>
      <c r="R36" s="75"/>
      <c r="S36" s="92"/>
      <c r="T36" s="207"/>
      <c r="U36" s="196"/>
      <c r="V36" s="75"/>
      <c r="W36" s="92"/>
      <c r="X36" s="207"/>
      <c r="Y36" s="411"/>
      <c r="Z36" s="75"/>
      <c r="AA36" s="92"/>
      <c r="AB36" s="207"/>
      <c r="AC36" s="196"/>
      <c r="AD36" s="75"/>
      <c r="AE36" s="92"/>
      <c r="AF36" s="207"/>
      <c r="AG36" s="196"/>
      <c r="AH36" s="75"/>
      <c r="AI36" s="108"/>
      <c r="AJ36" s="190"/>
      <c r="AK36" s="196"/>
      <c r="AL36" s="75"/>
      <c r="AM36" s="119"/>
      <c r="AN36" s="207"/>
      <c r="AO36" s="196"/>
      <c r="AP36" s="75"/>
      <c r="AQ36" s="92"/>
      <c r="AR36" s="495">
        <f>B13</f>
        <v>41</v>
      </c>
      <c r="AS36" s="484">
        <f>B13/A2</f>
        <v>10.25</v>
      </c>
      <c r="AT36" s="495">
        <f>B13</f>
        <v>41</v>
      </c>
      <c r="AU36" s="484">
        <f>AT36/A2</f>
        <v>10.25</v>
      </c>
      <c r="AV36" s="207"/>
      <c r="AW36" s="196"/>
      <c r="AX36" s="75"/>
      <c r="AY36" s="92"/>
      <c r="AZ36" s="207"/>
      <c r="BA36" s="196"/>
      <c r="BB36" s="75"/>
      <c r="BC36" s="92"/>
      <c r="BD36" s="207"/>
      <c r="BE36" s="196"/>
      <c r="BF36" s="75"/>
      <c r="BG36" s="92"/>
      <c r="BH36" s="207"/>
      <c r="BI36" s="196"/>
    </row>
    <row r="37" spans="1:61" x14ac:dyDescent="0.2">
      <c r="A37" s="34" t="s">
        <v>79</v>
      </c>
      <c r="B37" s="383"/>
      <c r="C37" s="159"/>
      <c r="D37" s="29"/>
      <c r="E37" s="444"/>
      <c r="F37" s="29"/>
      <c r="G37" s="444"/>
      <c r="H37" s="208"/>
      <c r="I37" s="173"/>
      <c r="J37" s="131"/>
      <c r="K37" s="444"/>
      <c r="L37" s="208"/>
      <c r="M37" s="177"/>
      <c r="N37" s="511">
        <f>B16</f>
        <v>150</v>
      </c>
      <c r="O37" s="512">
        <f>B16/A2</f>
        <v>37.5</v>
      </c>
      <c r="P37" s="208"/>
      <c r="Q37" s="199"/>
      <c r="R37" s="401"/>
      <c r="S37" s="93"/>
      <c r="T37" s="208"/>
      <c r="U37" s="199"/>
      <c r="V37" s="401"/>
      <c r="W37" s="93"/>
      <c r="X37" s="208"/>
      <c r="Y37" s="412"/>
      <c r="Z37" s="401"/>
      <c r="AA37" s="93"/>
      <c r="AB37" s="208"/>
      <c r="AC37" s="199"/>
      <c r="AD37" s="401"/>
      <c r="AE37" s="93"/>
      <c r="AF37" s="208"/>
      <c r="AG37" s="199"/>
      <c r="AH37" s="401"/>
      <c r="AI37" s="109"/>
      <c r="AJ37" s="191"/>
      <c r="AK37" s="199"/>
      <c r="AL37" s="401"/>
      <c r="AM37" s="120"/>
      <c r="AN37" s="208"/>
      <c r="AO37" s="199"/>
      <c r="AP37" s="401"/>
      <c r="AQ37" s="93"/>
      <c r="AR37" s="208"/>
      <c r="AS37" s="199"/>
      <c r="AT37" s="401"/>
      <c r="AU37" s="93"/>
      <c r="AV37" s="208"/>
      <c r="AW37" s="199"/>
      <c r="AX37" s="401"/>
      <c r="AY37" s="93"/>
      <c r="AZ37" s="208"/>
      <c r="BA37" s="199"/>
      <c r="BB37" s="401"/>
      <c r="BC37" s="93"/>
      <c r="BD37" s="208"/>
      <c r="BE37" s="199"/>
      <c r="BF37" s="401"/>
      <c r="BG37" s="93"/>
      <c r="BH37" s="208"/>
      <c r="BI37" s="199"/>
    </row>
    <row r="38" spans="1:61" ht="15.75" x14ac:dyDescent="0.25">
      <c r="A38" s="544" t="s">
        <v>134</v>
      </c>
      <c r="B38" s="545"/>
      <c r="C38" s="546"/>
      <c r="D38" s="547"/>
      <c r="E38" s="548"/>
      <c r="F38" s="549">
        <f>F10+F11+F12+F13+F14</f>
        <v>240</v>
      </c>
      <c r="G38" s="550">
        <f>F38/A2</f>
        <v>60</v>
      </c>
      <c r="H38" s="429"/>
      <c r="I38" s="170"/>
      <c r="J38" s="127"/>
      <c r="K38" s="439"/>
      <c r="L38" s="429"/>
      <c r="M38" s="178"/>
      <c r="N38" s="72"/>
      <c r="O38" s="89"/>
      <c r="P38" s="202"/>
      <c r="Q38" s="418"/>
      <c r="R38" s="72"/>
      <c r="S38" s="89"/>
      <c r="T38" s="202"/>
      <c r="U38" s="418"/>
      <c r="V38" s="72"/>
      <c r="W38" s="89"/>
      <c r="X38" s="202"/>
      <c r="Y38" s="408"/>
      <c r="Z38" s="72"/>
      <c r="AA38" s="89"/>
      <c r="AB38" s="202"/>
      <c r="AC38" s="418"/>
      <c r="AD38" s="72"/>
      <c r="AE38" s="89"/>
      <c r="AF38" s="202"/>
      <c r="AG38" s="418"/>
      <c r="AH38" s="72"/>
      <c r="AI38" s="105"/>
      <c r="AJ38" s="188"/>
      <c r="AK38" s="418"/>
      <c r="AL38" s="72"/>
      <c r="AM38" s="116"/>
      <c r="AN38" s="202"/>
      <c r="AO38" s="418"/>
      <c r="AP38" s="72"/>
      <c r="AQ38" s="89"/>
      <c r="AR38" s="202"/>
      <c r="AS38" s="418"/>
      <c r="AT38" s="72"/>
      <c r="AU38" s="89"/>
      <c r="AV38" s="202"/>
      <c r="AW38" s="418"/>
      <c r="AX38" s="72"/>
      <c r="AY38" s="89"/>
      <c r="AZ38" s="202"/>
      <c r="BA38" s="418"/>
      <c r="BB38" s="72"/>
      <c r="BC38" s="89"/>
      <c r="BD38" s="202"/>
      <c r="BE38" s="418"/>
      <c r="BF38" s="72"/>
      <c r="BG38" s="89"/>
      <c r="BH38" s="202"/>
      <c r="BI38" s="418"/>
    </row>
    <row r="39" spans="1:61" ht="16.5" thickBot="1" x14ac:dyDescent="0.3">
      <c r="A39" s="551"/>
      <c r="B39" s="552"/>
      <c r="C39" s="552"/>
      <c r="D39" s="553"/>
      <c r="E39" s="554"/>
      <c r="F39" s="549"/>
      <c r="G39" s="550"/>
      <c r="H39" s="555"/>
      <c r="I39" s="555"/>
      <c r="J39" s="556"/>
      <c r="K39" s="557"/>
      <c r="L39" s="555"/>
      <c r="M39" s="558"/>
      <c r="N39" s="559"/>
      <c r="O39" s="560"/>
      <c r="P39" s="561"/>
      <c r="Q39" s="562"/>
      <c r="R39" s="559"/>
      <c r="S39" s="560"/>
      <c r="T39" s="561"/>
      <c r="U39" s="562"/>
      <c r="V39" s="559"/>
      <c r="W39" s="560"/>
      <c r="X39" s="561"/>
      <c r="Y39" s="563"/>
      <c r="Z39" s="559"/>
      <c r="AA39" s="560"/>
      <c r="AB39" s="561"/>
      <c r="AC39" s="562"/>
      <c r="AD39" s="559"/>
      <c r="AE39" s="560"/>
      <c r="AF39" s="561"/>
      <c r="AG39" s="562"/>
      <c r="AH39" s="559"/>
      <c r="AI39" s="559"/>
      <c r="AJ39" s="564"/>
      <c r="AK39" s="562"/>
      <c r="AL39" s="559"/>
      <c r="AM39" s="565"/>
      <c r="AN39" s="561"/>
      <c r="AO39" s="562"/>
      <c r="AP39" s="559"/>
      <c r="AQ39" s="560"/>
      <c r="AR39" s="561"/>
      <c r="AS39" s="562"/>
      <c r="AT39" s="559"/>
      <c r="AU39" s="560"/>
      <c r="AV39" s="561"/>
      <c r="AW39" s="562"/>
      <c r="AX39" s="559"/>
      <c r="AY39" s="560"/>
      <c r="AZ39" s="561"/>
      <c r="BA39" s="562"/>
      <c r="BB39" s="559"/>
      <c r="BC39" s="560"/>
      <c r="BD39" s="561"/>
      <c r="BE39" s="562"/>
      <c r="BF39" s="559"/>
      <c r="BG39" s="560"/>
      <c r="BH39" s="561"/>
      <c r="BI39" s="562"/>
    </row>
    <row r="40" spans="1:61" ht="13.5" thickBot="1" x14ac:dyDescent="0.25">
      <c r="A40" s="39" t="s">
        <v>32</v>
      </c>
      <c r="B40" s="161">
        <f>A4*1.075</f>
        <v>0</v>
      </c>
      <c r="C40" s="161">
        <f>(A4*1.075)/A2</f>
        <v>0</v>
      </c>
      <c r="D40" s="40">
        <f>A4*1.075</f>
        <v>0</v>
      </c>
      <c r="E40" s="440">
        <f>(A4*1.075)/A2</f>
        <v>0</v>
      </c>
      <c r="F40" s="19"/>
      <c r="G40" s="439"/>
      <c r="H40" s="473">
        <f>A4*1.075</f>
        <v>0</v>
      </c>
      <c r="I40" s="375">
        <f>(A4*1.075)/A2</f>
        <v>0</v>
      </c>
      <c r="J40" s="138">
        <f>A4*1.075</f>
        <v>0</v>
      </c>
      <c r="K40" s="440">
        <f>(A4*1.075)/A2</f>
        <v>0</v>
      </c>
      <c r="L40" s="468">
        <f>A4*1.075</f>
        <v>0</v>
      </c>
      <c r="M40" s="179">
        <f>(A4*1.075)/A2</f>
        <v>0</v>
      </c>
      <c r="N40" s="76"/>
      <c r="O40" s="90"/>
      <c r="P40" s="203"/>
      <c r="Q40" s="419"/>
      <c r="R40" s="76">
        <f>A4*1.075</f>
        <v>0</v>
      </c>
      <c r="S40" s="90">
        <f>(A4*1.075)/A2</f>
        <v>0</v>
      </c>
      <c r="T40" s="203">
        <f>A4*1.075</f>
        <v>0</v>
      </c>
      <c r="U40" s="419">
        <f>(A4*1.075)/A2</f>
        <v>0</v>
      </c>
      <c r="V40" s="76">
        <f>A4*1.075</f>
        <v>0</v>
      </c>
      <c r="W40" s="90">
        <f>(A4*1.075)/A2</f>
        <v>0</v>
      </c>
      <c r="X40" s="463">
        <f>A4*1.075</f>
        <v>0</v>
      </c>
      <c r="Y40" s="409">
        <f>(A4*1.075)/A2</f>
        <v>0</v>
      </c>
      <c r="Z40" s="76">
        <f>A4*1.075</f>
        <v>0</v>
      </c>
      <c r="AA40" s="90">
        <f>(A4*1.075)/A2</f>
        <v>0</v>
      </c>
      <c r="AB40" s="463">
        <f>A4*1.075</f>
        <v>0</v>
      </c>
      <c r="AC40" s="419">
        <f>(A4*1.075)/A2</f>
        <v>0</v>
      </c>
      <c r="AD40" s="76">
        <f>A4*1.075</f>
        <v>0</v>
      </c>
      <c r="AE40" s="90">
        <f>(A4*1.075)/A2</f>
        <v>0</v>
      </c>
      <c r="AF40" s="203">
        <f>A4*1.075</f>
        <v>0</v>
      </c>
      <c r="AG40" s="419">
        <f>(A4*1.075)/A2</f>
        <v>0</v>
      </c>
      <c r="AH40" s="73">
        <f>A4*1.075</f>
        <v>0</v>
      </c>
      <c r="AI40" s="106">
        <f>(A4*1.075)/A2</f>
        <v>0</v>
      </c>
      <c r="AJ40" s="189">
        <f>A4*1.075</f>
        <v>0</v>
      </c>
      <c r="AK40" s="419">
        <f>(A4*1.075)/A2</f>
        <v>0</v>
      </c>
      <c r="AL40" s="73">
        <f>A4*1.075</f>
        <v>0</v>
      </c>
      <c r="AM40" s="117">
        <f>(A4*1.075)/A2</f>
        <v>0</v>
      </c>
      <c r="AN40" s="203">
        <f>A4*1.075</f>
        <v>0</v>
      </c>
      <c r="AO40" s="419">
        <f>(A4*1.075)/A2</f>
        <v>0</v>
      </c>
      <c r="AP40" s="73"/>
      <c r="AQ40" s="90"/>
      <c r="AR40" s="203"/>
      <c r="AS40" s="419"/>
      <c r="AT40" s="73">
        <f>A4*1.075</f>
        <v>0</v>
      </c>
      <c r="AU40" s="90">
        <f>(A4*1.075)/A2</f>
        <v>0</v>
      </c>
      <c r="AV40" s="452">
        <f>A4*1.075</f>
        <v>0</v>
      </c>
      <c r="AW40" s="450">
        <f>(A4*1.075)/A2</f>
        <v>0</v>
      </c>
      <c r="AX40" s="480">
        <v>0</v>
      </c>
      <c r="AY40" s="481">
        <v>0</v>
      </c>
      <c r="AZ40" s="452">
        <f>A4*1.075</f>
        <v>0</v>
      </c>
      <c r="BA40" s="450">
        <f>(A4*1.075)/A2</f>
        <v>0</v>
      </c>
      <c r="BB40" s="480">
        <v>0</v>
      </c>
      <c r="BC40" s="481">
        <v>0</v>
      </c>
      <c r="BD40" s="463">
        <f>A4*1.075</f>
        <v>0</v>
      </c>
      <c r="BE40" s="419">
        <f>(A4*1.075)/A2</f>
        <v>0</v>
      </c>
      <c r="BF40" s="76">
        <f>A4*1.075</f>
        <v>0</v>
      </c>
      <c r="BG40" s="90">
        <f>(A4*1.075)/A2</f>
        <v>0</v>
      </c>
      <c r="BH40" s="485"/>
      <c r="BI40" s="486"/>
    </row>
    <row r="41" spans="1:61" ht="13.5" thickBot="1" x14ac:dyDescent="0.25">
      <c r="A41" s="37" t="s">
        <v>126</v>
      </c>
      <c r="B41" s="381">
        <f t="shared" ref="B41:I41" si="5">B40*0.1116</f>
        <v>0</v>
      </c>
      <c r="C41" s="163">
        <f>C40*0.1116</f>
        <v>0</v>
      </c>
      <c r="D41" s="5">
        <f>D40*0.1116</f>
        <v>0</v>
      </c>
      <c r="E41" s="445">
        <f t="shared" si="5"/>
        <v>0</v>
      </c>
      <c r="F41" s="40">
        <f>A4*1.075</f>
        <v>0</v>
      </c>
      <c r="G41" s="440">
        <f>(A4*1.075)/A2</f>
        <v>0</v>
      </c>
      <c r="H41" s="517">
        <f t="shared" si="5"/>
        <v>0</v>
      </c>
      <c r="I41" s="518">
        <f t="shared" si="5"/>
        <v>0</v>
      </c>
      <c r="J41" s="129">
        <f>J40*0.1116</f>
        <v>0</v>
      </c>
      <c r="K41" s="445">
        <f>K40*0.1116</f>
        <v>0</v>
      </c>
      <c r="L41" s="433">
        <f>L40*0.1116</f>
        <v>0</v>
      </c>
      <c r="M41" s="180">
        <f>M40*0.1116</f>
        <v>0</v>
      </c>
      <c r="N41" s="74"/>
      <c r="O41" s="425"/>
      <c r="P41" s="201"/>
      <c r="Q41" s="420"/>
      <c r="R41" s="74">
        <f t="shared" ref="R41:AO41" si="6">R40*0.1116</f>
        <v>0</v>
      </c>
      <c r="S41" s="425">
        <f t="shared" si="6"/>
        <v>0</v>
      </c>
      <c r="T41" s="201">
        <f t="shared" si="6"/>
        <v>0</v>
      </c>
      <c r="U41" s="200">
        <f t="shared" si="6"/>
        <v>0</v>
      </c>
      <c r="V41" s="74">
        <f t="shared" si="6"/>
        <v>0</v>
      </c>
      <c r="W41" s="425">
        <f t="shared" si="6"/>
        <v>0</v>
      </c>
      <c r="X41" s="201">
        <f t="shared" si="6"/>
        <v>0</v>
      </c>
      <c r="Y41" s="413">
        <f t="shared" si="6"/>
        <v>0</v>
      </c>
      <c r="Z41" s="74">
        <f t="shared" si="6"/>
        <v>0</v>
      </c>
      <c r="AA41" s="425">
        <f t="shared" si="6"/>
        <v>0</v>
      </c>
      <c r="AB41" s="201">
        <f t="shared" si="6"/>
        <v>0</v>
      </c>
      <c r="AC41" s="200">
        <f t="shared" si="6"/>
        <v>0</v>
      </c>
      <c r="AD41" s="74">
        <f t="shared" si="6"/>
        <v>0</v>
      </c>
      <c r="AE41" s="425">
        <f t="shared" si="6"/>
        <v>0</v>
      </c>
      <c r="AF41" s="201">
        <f t="shared" si="6"/>
        <v>0</v>
      </c>
      <c r="AG41" s="200">
        <f t="shared" si="6"/>
        <v>0</v>
      </c>
      <c r="AH41" s="74">
        <f t="shared" si="6"/>
        <v>0</v>
      </c>
      <c r="AI41" s="110">
        <f t="shared" si="6"/>
        <v>0</v>
      </c>
      <c r="AJ41" s="186">
        <f t="shared" si="6"/>
        <v>0</v>
      </c>
      <c r="AK41" s="200">
        <f t="shared" si="6"/>
        <v>0</v>
      </c>
      <c r="AL41" s="74">
        <f t="shared" si="6"/>
        <v>0</v>
      </c>
      <c r="AM41" s="122">
        <f t="shared" si="6"/>
        <v>0</v>
      </c>
      <c r="AN41" s="201">
        <f t="shared" si="6"/>
        <v>0</v>
      </c>
      <c r="AO41" s="200">
        <f t="shared" si="6"/>
        <v>0</v>
      </c>
      <c r="AP41" s="402"/>
      <c r="AQ41" s="423"/>
      <c r="AR41" s="201"/>
      <c r="AS41" s="426"/>
      <c r="AT41" s="74">
        <f t="shared" ref="AT41:BE41" si="7">AT40*0.1116</f>
        <v>0</v>
      </c>
      <c r="AU41" s="425">
        <f t="shared" si="7"/>
        <v>0</v>
      </c>
      <c r="AV41" s="433">
        <f t="shared" si="7"/>
        <v>0</v>
      </c>
      <c r="AW41" s="200">
        <f t="shared" si="7"/>
        <v>0</v>
      </c>
      <c r="AX41" s="482">
        <f t="shared" si="7"/>
        <v>0</v>
      </c>
      <c r="AY41" s="483">
        <f t="shared" si="7"/>
        <v>0</v>
      </c>
      <c r="AZ41" s="433">
        <f t="shared" si="7"/>
        <v>0</v>
      </c>
      <c r="BA41" s="200">
        <f t="shared" si="7"/>
        <v>0</v>
      </c>
      <c r="BB41" s="482">
        <f t="shared" si="7"/>
        <v>0</v>
      </c>
      <c r="BC41" s="483">
        <f t="shared" si="7"/>
        <v>0</v>
      </c>
      <c r="BD41" s="201">
        <f t="shared" si="7"/>
        <v>0</v>
      </c>
      <c r="BE41" s="200">
        <f t="shared" si="7"/>
        <v>0</v>
      </c>
      <c r="BF41" s="74">
        <f>BF40*0.1116</f>
        <v>0</v>
      </c>
      <c r="BG41" s="425">
        <f>BG40*0.1116</f>
        <v>0</v>
      </c>
      <c r="BH41" s="487"/>
      <c r="BI41" s="483"/>
    </row>
    <row r="42" spans="1:61" x14ac:dyDescent="0.2">
      <c r="A42" s="24" t="s">
        <v>55</v>
      </c>
      <c r="B42" s="378">
        <f t="shared" ref="B42:I42" si="8">B40*0.8884</f>
        <v>0</v>
      </c>
      <c r="C42" s="158">
        <f t="shared" si="8"/>
        <v>0</v>
      </c>
      <c r="D42" s="7">
        <f>B40*0.8884</f>
        <v>0</v>
      </c>
      <c r="E42" s="443">
        <f t="shared" si="8"/>
        <v>0</v>
      </c>
      <c r="F42" s="5">
        <f>F41*0.1116</f>
        <v>0</v>
      </c>
      <c r="G42" s="445">
        <f t="shared" ref="G42" si="9">G41*0.1116</f>
        <v>0</v>
      </c>
      <c r="H42" s="446">
        <f t="shared" si="8"/>
        <v>0</v>
      </c>
      <c r="I42" s="374">
        <f t="shared" si="8"/>
        <v>0</v>
      </c>
      <c r="J42" s="125">
        <f>J40*0.8884</f>
        <v>0</v>
      </c>
      <c r="K42" s="443">
        <f>K40*0.8884</f>
        <v>0</v>
      </c>
      <c r="L42" s="431">
        <f>L40*0.8884</f>
        <v>0</v>
      </c>
      <c r="M42" s="176">
        <f>M40*0.8884</f>
        <v>0</v>
      </c>
      <c r="N42" s="70"/>
      <c r="O42" s="92"/>
      <c r="P42" s="204"/>
      <c r="Q42" s="417"/>
      <c r="R42" s="70">
        <f t="shared" ref="R42:AG42" si="10">R40*0.8884</f>
        <v>0</v>
      </c>
      <c r="S42" s="92">
        <f t="shared" si="10"/>
        <v>0</v>
      </c>
      <c r="T42" s="204">
        <f t="shared" si="10"/>
        <v>0</v>
      </c>
      <c r="U42" s="196">
        <f t="shared" si="10"/>
        <v>0</v>
      </c>
      <c r="V42" s="70">
        <f t="shared" si="10"/>
        <v>0</v>
      </c>
      <c r="W42" s="92">
        <f t="shared" si="10"/>
        <v>0</v>
      </c>
      <c r="X42" s="204">
        <f>X40*0.8884</f>
        <v>0</v>
      </c>
      <c r="Y42" s="411">
        <f>Y40*0.8884</f>
        <v>0</v>
      </c>
      <c r="Z42" s="70">
        <f>Z40*0.8884</f>
        <v>0</v>
      </c>
      <c r="AA42" s="92">
        <f>AA40*0.8884</f>
        <v>0</v>
      </c>
      <c r="AB42" s="204">
        <f t="shared" si="10"/>
        <v>0</v>
      </c>
      <c r="AC42" s="196">
        <f t="shared" si="10"/>
        <v>0</v>
      </c>
      <c r="AD42" s="70">
        <f t="shared" si="10"/>
        <v>0</v>
      </c>
      <c r="AE42" s="92">
        <f t="shared" si="10"/>
        <v>0</v>
      </c>
      <c r="AF42" s="204">
        <f t="shared" si="10"/>
        <v>0</v>
      </c>
      <c r="AG42" s="196">
        <f t="shared" si="10"/>
        <v>0</v>
      </c>
      <c r="AH42" s="70">
        <f>AH40*0.8884</f>
        <v>0</v>
      </c>
      <c r="AI42" s="108">
        <f>AI40*0.8884</f>
        <v>0</v>
      </c>
      <c r="AJ42" s="187">
        <f>AH40*0.8884</f>
        <v>0</v>
      </c>
      <c r="AK42" s="196">
        <f>AK40*0.8884</f>
        <v>0</v>
      </c>
      <c r="AL42" s="70">
        <f>AJ40*0.8884</f>
        <v>0</v>
      </c>
      <c r="AM42" s="119">
        <f>AM40*0.8884</f>
        <v>0</v>
      </c>
      <c r="AN42" s="204">
        <f>AN40*0.8884</f>
        <v>0</v>
      </c>
      <c r="AO42" s="196">
        <f>AO40*0.8884</f>
        <v>0</v>
      </c>
      <c r="AP42" s="403"/>
      <c r="AQ42" s="424"/>
      <c r="AR42" s="204"/>
      <c r="AS42" s="427"/>
      <c r="AT42" s="70">
        <f t="shared" ref="AT42:BE42" si="11">AT40*0.8884</f>
        <v>0</v>
      </c>
      <c r="AU42" s="92">
        <f t="shared" si="11"/>
        <v>0</v>
      </c>
      <c r="AV42" s="431">
        <f t="shared" si="11"/>
        <v>0</v>
      </c>
      <c r="AW42" s="196">
        <f t="shared" si="11"/>
        <v>0</v>
      </c>
      <c r="AX42" s="479">
        <f t="shared" si="11"/>
        <v>0</v>
      </c>
      <c r="AY42" s="484">
        <f t="shared" si="11"/>
        <v>0</v>
      </c>
      <c r="AZ42" s="431">
        <f t="shared" si="11"/>
        <v>0</v>
      </c>
      <c r="BA42" s="196">
        <f t="shared" si="11"/>
        <v>0</v>
      </c>
      <c r="BB42" s="479">
        <f t="shared" si="11"/>
        <v>0</v>
      </c>
      <c r="BC42" s="484">
        <f t="shared" si="11"/>
        <v>0</v>
      </c>
      <c r="BD42" s="204">
        <f t="shared" si="11"/>
        <v>0</v>
      </c>
      <c r="BE42" s="196">
        <f t="shared" si="11"/>
        <v>0</v>
      </c>
      <c r="BF42" s="70">
        <f>BF40*0.8884</f>
        <v>0</v>
      </c>
      <c r="BG42" s="92">
        <f>BG40*0.8884</f>
        <v>0</v>
      </c>
      <c r="BH42" s="477"/>
      <c r="BI42" s="484"/>
    </row>
    <row r="43" spans="1:61" ht="13.5" thickBot="1" x14ac:dyDescent="0.25">
      <c r="A43" s="36"/>
      <c r="B43" s="380"/>
      <c r="C43" s="160"/>
      <c r="D43" s="19"/>
      <c r="E43" s="439"/>
      <c r="F43" s="7">
        <f>F41*0.8884</f>
        <v>0</v>
      </c>
      <c r="G43" s="443">
        <f t="shared" ref="G43" si="12">G41*0.8884</f>
        <v>0</v>
      </c>
      <c r="H43" s="429"/>
      <c r="I43" s="170"/>
      <c r="J43" s="127"/>
      <c r="K43" s="439"/>
      <c r="L43" s="429"/>
      <c r="M43" s="178"/>
      <c r="N43" s="72"/>
      <c r="O43" s="89"/>
      <c r="P43" s="202"/>
      <c r="Q43" s="418"/>
      <c r="R43" s="72"/>
      <c r="S43" s="89"/>
      <c r="T43" s="202"/>
      <c r="U43" s="418"/>
      <c r="V43" s="72"/>
      <c r="W43" s="89"/>
      <c r="X43" s="202"/>
      <c r="Y43" s="408"/>
      <c r="Z43" s="72"/>
      <c r="AA43" s="89"/>
      <c r="AB43" s="202"/>
      <c r="AC43" s="418"/>
      <c r="AD43" s="72"/>
      <c r="AE43" s="89"/>
      <c r="AF43" s="202"/>
      <c r="AG43" s="418"/>
      <c r="AH43" s="72"/>
      <c r="AI43" s="105"/>
      <c r="AJ43" s="188"/>
      <c r="AK43" s="418"/>
      <c r="AL43" s="72"/>
      <c r="AM43" s="116"/>
      <c r="AN43" s="202"/>
      <c r="AO43" s="418"/>
      <c r="AP43" s="72"/>
      <c r="AQ43" s="89"/>
      <c r="AR43" s="202"/>
      <c r="AS43" s="418"/>
      <c r="AT43" s="72"/>
      <c r="AU43" s="89"/>
      <c r="AV43" s="202"/>
      <c r="AW43" s="418"/>
      <c r="AX43" s="72"/>
      <c r="AY43" s="89"/>
      <c r="AZ43" s="202"/>
      <c r="BA43" s="418"/>
      <c r="BB43" s="72"/>
      <c r="BC43" s="89"/>
      <c r="BD43" s="202"/>
      <c r="BE43" s="418"/>
      <c r="BF43" s="72"/>
      <c r="BG43" s="89"/>
      <c r="BH43" s="202"/>
      <c r="BI43" s="418"/>
    </row>
    <row r="44" spans="1:61" ht="13.5" thickBot="1" x14ac:dyDescent="0.25">
      <c r="A44" s="46" t="s">
        <v>18</v>
      </c>
      <c r="B44" s="349">
        <f>A4</f>
        <v>0</v>
      </c>
      <c r="C44" s="349">
        <f>A4/A2</f>
        <v>0</v>
      </c>
      <c r="D44" s="47">
        <f>A4</f>
        <v>0</v>
      </c>
      <c r="E44" s="471">
        <f>A4/A2</f>
        <v>0</v>
      </c>
      <c r="F44" s="19"/>
      <c r="G44" s="439"/>
      <c r="H44" s="453">
        <f>A4</f>
        <v>0</v>
      </c>
      <c r="I44" s="367">
        <f>A4/A2</f>
        <v>0</v>
      </c>
      <c r="J44" s="139">
        <f>A4</f>
        <v>0</v>
      </c>
      <c r="K44" s="471">
        <f>A4/A2</f>
        <v>0</v>
      </c>
      <c r="L44" s="453">
        <f>A4</f>
        <v>0</v>
      </c>
      <c r="M44" s="363">
        <f>A4/A2</f>
        <v>0</v>
      </c>
      <c r="N44" s="77"/>
      <c r="O44" s="99"/>
      <c r="P44" s="355"/>
      <c r="Q44" s="456"/>
      <c r="R44" s="77">
        <f>A4</f>
        <v>0</v>
      </c>
      <c r="S44" s="99">
        <f>A4/A2</f>
        <v>0</v>
      </c>
      <c r="T44" s="355">
        <f>A4</f>
        <v>0</v>
      </c>
      <c r="U44" s="456">
        <f>A4/A2</f>
        <v>0</v>
      </c>
      <c r="V44" s="77">
        <f>A4</f>
        <v>0</v>
      </c>
      <c r="W44" s="99">
        <f>A4/A2</f>
        <v>0</v>
      </c>
      <c r="X44" s="355">
        <f>A4</f>
        <v>0</v>
      </c>
      <c r="Y44" s="465">
        <f>A4/A2</f>
        <v>0</v>
      </c>
      <c r="Z44" s="77">
        <f>A4</f>
        <v>0</v>
      </c>
      <c r="AA44" s="99">
        <f>A4/A2</f>
        <v>0</v>
      </c>
      <c r="AB44" s="355">
        <f>A4</f>
        <v>0</v>
      </c>
      <c r="AC44" s="456">
        <f>A4/A2</f>
        <v>0</v>
      </c>
      <c r="AD44" s="77">
        <f>A4</f>
        <v>0</v>
      </c>
      <c r="AE44" s="99">
        <f>A4/A2</f>
        <v>0</v>
      </c>
      <c r="AF44" s="355">
        <f>A4</f>
        <v>0</v>
      </c>
      <c r="AG44" s="456">
        <f>A4/A2</f>
        <v>0</v>
      </c>
      <c r="AH44" s="77">
        <f>A4</f>
        <v>0</v>
      </c>
      <c r="AI44" s="133">
        <f>A4/A2</f>
        <v>0</v>
      </c>
      <c r="AJ44" s="359">
        <f>A4</f>
        <v>0</v>
      </c>
      <c r="AK44" s="456">
        <f>A4/A2</f>
        <v>0</v>
      </c>
      <c r="AL44" s="77">
        <f>A4</f>
        <v>0</v>
      </c>
      <c r="AM44" s="136">
        <f>A4/A2</f>
        <v>0</v>
      </c>
      <c r="AN44" s="355">
        <f>A4</f>
        <v>0</v>
      </c>
      <c r="AO44" s="456">
        <f>A4/A2</f>
        <v>0</v>
      </c>
      <c r="AP44" s="77">
        <f>A4</f>
        <v>0</v>
      </c>
      <c r="AQ44" s="99">
        <f>A4/A2</f>
        <v>0</v>
      </c>
      <c r="AR44" s="355"/>
      <c r="AS44" s="456"/>
      <c r="AT44" s="77">
        <f>A4</f>
        <v>0</v>
      </c>
      <c r="AU44" s="99">
        <f>A4/A2</f>
        <v>0</v>
      </c>
      <c r="AV44" s="453">
        <f>A4</f>
        <v>0</v>
      </c>
      <c r="AW44" s="451">
        <f>A4/A2</f>
        <v>0</v>
      </c>
      <c r="AX44" s="77">
        <f>A4</f>
        <v>0</v>
      </c>
      <c r="AY44" s="99">
        <f>A4/A2</f>
        <v>0</v>
      </c>
      <c r="AZ44" s="453">
        <f>A4</f>
        <v>0</v>
      </c>
      <c r="BA44" s="451">
        <f>A4/A2</f>
        <v>0</v>
      </c>
      <c r="BB44" s="77">
        <f>A4</f>
        <v>0</v>
      </c>
      <c r="BC44" s="447">
        <f>A4/A2</f>
        <v>0</v>
      </c>
      <c r="BD44" s="355">
        <f>A4</f>
        <v>0</v>
      </c>
      <c r="BE44" s="456">
        <f>A4/A2</f>
        <v>0</v>
      </c>
      <c r="BF44" s="77">
        <f>A4</f>
        <v>0</v>
      </c>
      <c r="BG44" s="447">
        <f>A4/A2</f>
        <v>0</v>
      </c>
      <c r="BH44" s="355">
        <f>A4</f>
        <v>0</v>
      </c>
      <c r="BI44" s="523">
        <f>A4/A2</f>
        <v>0</v>
      </c>
    </row>
    <row r="45" spans="1:61" ht="13.5" thickBot="1" x14ac:dyDescent="0.25">
      <c r="A45" s="45" t="s">
        <v>3</v>
      </c>
      <c r="B45" s="381"/>
      <c r="C45" s="162"/>
      <c r="D45" s="5"/>
      <c r="E45" s="441"/>
      <c r="F45" s="47">
        <f>A4</f>
        <v>0</v>
      </c>
      <c r="G45" s="471">
        <f>A4/A2</f>
        <v>0</v>
      </c>
      <c r="H45" s="433"/>
      <c r="I45" s="167"/>
      <c r="J45" s="129"/>
      <c r="K45" s="441"/>
      <c r="L45" s="433"/>
      <c r="M45" s="181"/>
      <c r="N45" s="74"/>
      <c r="O45" s="91"/>
      <c r="P45" s="201"/>
      <c r="Q45" s="420"/>
      <c r="R45" s="74"/>
      <c r="S45" s="91"/>
      <c r="T45" s="201"/>
      <c r="U45" s="420"/>
      <c r="V45" s="74"/>
      <c r="W45" s="91"/>
      <c r="X45" s="201"/>
      <c r="Y45" s="410"/>
      <c r="Z45" s="74"/>
      <c r="AA45" s="91"/>
      <c r="AB45" s="201"/>
      <c r="AC45" s="420"/>
      <c r="AD45" s="74"/>
      <c r="AE45" s="91"/>
      <c r="AF45" s="201"/>
      <c r="AG45" s="420"/>
      <c r="AH45" s="74"/>
      <c r="AI45" s="107"/>
      <c r="AJ45" s="186"/>
      <c r="AK45" s="420"/>
      <c r="AL45" s="74"/>
      <c r="AM45" s="118"/>
      <c r="AN45" s="201"/>
      <c r="AO45" s="420"/>
      <c r="AP45" s="74"/>
      <c r="AQ45" s="91"/>
      <c r="AR45" s="201"/>
      <c r="AS45" s="420"/>
      <c r="AT45" s="74"/>
      <c r="AU45" s="91"/>
      <c r="AV45" s="201"/>
      <c r="AW45" s="420"/>
      <c r="AX45" s="74"/>
      <c r="AY45" s="91"/>
      <c r="AZ45" s="201"/>
      <c r="BA45" s="420"/>
      <c r="BB45" s="74"/>
      <c r="BC45" s="91"/>
      <c r="BD45" s="201"/>
      <c r="BE45" s="420"/>
      <c r="BF45" s="74"/>
      <c r="BG45" s="91"/>
      <c r="BH45" s="201"/>
      <c r="BI45" s="420"/>
    </row>
    <row r="46" spans="1:61" x14ac:dyDescent="0.2">
      <c r="A46" s="24" t="s">
        <v>0</v>
      </c>
      <c r="B46" s="378"/>
      <c r="C46" s="153"/>
      <c r="D46" s="7"/>
      <c r="E46" s="437"/>
      <c r="F46" s="5"/>
      <c r="G46" s="441"/>
      <c r="H46" s="431"/>
      <c r="I46" s="168"/>
      <c r="J46" s="125"/>
      <c r="K46" s="437"/>
      <c r="L46" s="431"/>
      <c r="M46" s="389"/>
      <c r="N46" s="70"/>
      <c r="O46" s="87"/>
      <c r="P46" s="479">
        <f>P22/4</f>
        <v>0</v>
      </c>
      <c r="Q46" s="478">
        <f>(A4*0.25)/A2</f>
        <v>0</v>
      </c>
      <c r="R46" s="70"/>
      <c r="S46" s="87"/>
      <c r="T46" s="477">
        <f>A4/3</f>
        <v>0</v>
      </c>
      <c r="U46" s="478">
        <f>(A4/3)/A2</f>
        <v>0</v>
      </c>
      <c r="V46" s="70"/>
      <c r="W46" s="87"/>
      <c r="X46" s="204"/>
      <c r="Y46" s="406"/>
      <c r="Z46" s="70"/>
      <c r="AA46" s="87"/>
      <c r="AB46" s="204"/>
      <c r="AC46" s="417"/>
      <c r="AD46" s="70"/>
      <c r="AE46" s="87"/>
      <c r="AF46" s="204"/>
      <c r="AG46" s="417"/>
      <c r="AH46" s="70"/>
      <c r="AI46" s="103"/>
      <c r="AJ46" s="187"/>
      <c r="AK46" s="417"/>
      <c r="AL46" s="70"/>
      <c r="AM46" s="114"/>
      <c r="AN46" s="204"/>
      <c r="AO46" s="417"/>
      <c r="AP46" s="70"/>
      <c r="AQ46" s="87"/>
      <c r="AR46" s="204"/>
      <c r="AS46" s="417"/>
      <c r="AT46" s="70"/>
      <c r="AU46" s="87"/>
      <c r="AV46" s="204"/>
      <c r="AW46" s="417"/>
      <c r="AX46" s="70"/>
      <c r="AY46" s="87"/>
      <c r="AZ46" s="204"/>
      <c r="BA46" s="417"/>
      <c r="BB46" s="70"/>
      <c r="BC46" s="87"/>
      <c r="BD46" s="204"/>
      <c r="BE46" s="417"/>
      <c r="BF46" s="70"/>
      <c r="BG46" s="87"/>
      <c r="BH46" s="204"/>
      <c r="BI46" s="417"/>
    </row>
    <row r="47" spans="1:61" x14ac:dyDescent="0.2">
      <c r="A47" s="25" t="s">
        <v>127</v>
      </c>
      <c r="B47" s="378">
        <f>A4</f>
        <v>0</v>
      </c>
      <c r="C47" s="153">
        <f>A4/A2</f>
        <v>0</v>
      </c>
      <c r="D47" s="7">
        <f>B44</f>
        <v>0</v>
      </c>
      <c r="E47" s="437">
        <f t="shared" ref="E47:M47" si="13">E44</f>
        <v>0</v>
      </c>
      <c r="F47" s="7">
        <f>F45+F38</f>
        <v>240</v>
      </c>
      <c r="G47" s="437">
        <f>G45+G38</f>
        <v>60</v>
      </c>
      <c r="H47" s="431">
        <f t="shared" si="13"/>
        <v>0</v>
      </c>
      <c r="I47" s="168">
        <f t="shared" si="13"/>
        <v>0</v>
      </c>
      <c r="J47" s="125">
        <f t="shared" si="13"/>
        <v>0</v>
      </c>
      <c r="K47" s="437">
        <f t="shared" si="13"/>
        <v>0</v>
      </c>
      <c r="L47" s="431">
        <f t="shared" si="13"/>
        <v>0</v>
      </c>
      <c r="M47" s="389">
        <f t="shared" si="13"/>
        <v>0</v>
      </c>
      <c r="N47" s="70"/>
      <c r="O47" s="87"/>
      <c r="P47" s="479">
        <f>P22/2</f>
        <v>0</v>
      </c>
      <c r="Q47" s="478">
        <f>(A4*0.5)/A2</f>
        <v>0</v>
      </c>
      <c r="R47" s="70"/>
      <c r="S47" s="87"/>
      <c r="T47" s="477">
        <f>A4/3</f>
        <v>0</v>
      </c>
      <c r="U47" s="478">
        <f>(A4/3)/A2</f>
        <v>0</v>
      </c>
      <c r="V47" s="70"/>
      <c r="W47" s="87"/>
      <c r="X47" s="204">
        <f>X44*0.25</f>
        <v>0</v>
      </c>
      <c r="Y47" s="406">
        <f>Y44*0.25</f>
        <v>0</v>
      </c>
      <c r="Z47" s="479">
        <f>Z44*0.25</f>
        <v>0</v>
      </c>
      <c r="AA47" s="478">
        <f>AA44*0.25</f>
        <v>0</v>
      </c>
      <c r="AB47" s="204"/>
      <c r="AC47" s="417"/>
      <c r="AD47" s="479">
        <f>A4*0.25</f>
        <v>0</v>
      </c>
      <c r="AE47" s="478">
        <f>(A4*0.25)/A2</f>
        <v>0</v>
      </c>
      <c r="AF47" s="204">
        <f>A4</f>
        <v>0</v>
      </c>
      <c r="AG47" s="417">
        <f>A4/A2</f>
        <v>0</v>
      </c>
      <c r="AH47" s="70">
        <f>AH44-AH54</f>
        <v>0</v>
      </c>
      <c r="AI47" s="103">
        <f>AI44-AI54</f>
        <v>0</v>
      </c>
      <c r="AJ47" s="187">
        <f>AJ44-AH54</f>
        <v>0</v>
      </c>
      <c r="AK47" s="417">
        <f>AK44-AK54</f>
        <v>0</v>
      </c>
      <c r="AL47" s="70">
        <f>AJ44-AJ54</f>
        <v>0</v>
      </c>
      <c r="AM47" s="114">
        <f>AM44-AM54</f>
        <v>0</v>
      </c>
      <c r="AN47" s="204">
        <f>AN44-AN54</f>
        <v>0</v>
      </c>
      <c r="AO47" s="417">
        <f>AO44-AO54</f>
        <v>0</v>
      </c>
      <c r="AP47" s="479">
        <f>A4</f>
        <v>0</v>
      </c>
      <c r="AQ47" s="478">
        <f>A4/A2</f>
        <v>0</v>
      </c>
      <c r="AR47" s="204"/>
      <c r="AS47" s="417"/>
      <c r="AT47" s="70">
        <f>A4</f>
        <v>0</v>
      </c>
      <c r="AU47" s="87">
        <f>A4/A2</f>
        <v>0</v>
      </c>
      <c r="AV47" s="204">
        <f>AV44</f>
        <v>0</v>
      </c>
      <c r="AW47" s="417">
        <f>AW44</f>
        <v>0</v>
      </c>
      <c r="AX47" s="70">
        <f>AX44</f>
        <v>0</v>
      </c>
      <c r="AY47" s="87">
        <f>AY44</f>
        <v>0</v>
      </c>
      <c r="AZ47" s="477"/>
      <c r="BA47" s="478"/>
      <c r="BB47" s="479">
        <f>A4</f>
        <v>0</v>
      </c>
      <c r="BC47" s="478">
        <f>A4/A2</f>
        <v>0</v>
      </c>
      <c r="BD47" s="479">
        <f>A4*0.25</f>
        <v>0</v>
      </c>
      <c r="BE47" s="478">
        <f>(A4*0.25)/A2</f>
        <v>0</v>
      </c>
      <c r="BF47" s="477">
        <f>BF44*0.1</f>
        <v>0</v>
      </c>
      <c r="BG47" s="478">
        <f>BG44*0.1</f>
        <v>0</v>
      </c>
      <c r="BH47" s="204">
        <f>BH44</f>
        <v>0</v>
      </c>
      <c r="BI47" s="417">
        <f>BI44</f>
        <v>0</v>
      </c>
    </row>
    <row r="48" spans="1:61" x14ac:dyDescent="0.2">
      <c r="A48" s="24" t="s">
        <v>1</v>
      </c>
      <c r="B48" s="378"/>
      <c r="C48" s="153"/>
      <c r="D48" s="7"/>
      <c r="E48" s="437"/>
      <c r="F48" s="7"/>
      <c r="G48" s="437"/>
      <c r="H48" s="431"/>
      <c r="I48" s="168"/>
      <c r="J48" s="125"/>
      <c r="K48" s="437"/>
      <c r="L48" s="431"/>
      <c r="M48" s="389"/>
      <c r="N48" s="70"/>
      <c r="O48" s="87"/>
      <c r="P48" s="479">
        <f>P22/4</f>
        <v>0</v>
      </c>
      <c r="Q48" s="478">
        <f>(A4*0.25)/A2</f>
        <v>0</v>
      </c>
      <c r="R48" s="70"/>
      <c r="S48" s="87"/>
      <c r="T48" s="204"/>
      <c r="U48" s="417"/>
      <c r="V48" s="70"/>
      <c r="W48" s="87"/>
      <c r="X48" s="204"/>
      <c r="Y48" s="406"/>
      <c r="Z48" s="70"/>
      <c r="AA48" s="87"/>
      <c r="AB48" s="204"/>
      <c r="AC48" s="417"/>
      <c r="AD48" s="70"/>
      <c r="AE48" s="87"/>
      <c r="AF48" s="204"/>
      <c r="AG48" s="417"/>
      <c r="AH48" s="70"/>
      <c r="AI48" s="103"/>
      <c r="AJ48" s="187"/>
      <c r="AK48" s="417"/>
      <c r="AL48" s="70"/>
      <c r="AM48" s="114"/>
      <c r="AN48" s="204"/>
      <c r="AO48" s="417"/>
      <c r="AP48" s="70"/>
      <c r="AQ48" s="87"/>
      <c r="AR48" s="204"/>
      <c r="AS48" s="417"/>
      <c r="AT48" s="70"/>
      <c r="AU48" s="87"/>
      <c r="AV48" s="204"/>
      <c r="AW48" s="417"/>
      <c r="AX48" s="70"/>
      <c r="AY48" s="87"/>
      <c r="AZ48" s="204"/>
      <c r="BA48" s="417"/>
      <c r="BB48" s="70"/>
      <c r="BC48" s="87"/>
      <c r="BD48" s="204"/>
      <c r="BE48" s="417"/>
      <c r="BF48" s="70"/>
      <c r="BG48" s="87"/>
      <c r="BH48" s="204"/>
      <c r="BI48" s="417"/>
    </row>
    <row r="49" spans="1:61" x14ac:dyDescent="0.2">
      <c r="A49" s="24" t="s">
        <v>2</v>
      </c>
      <c r="B49" s="378"/>
      <c r="C49" s="153"/>
      <c r="D49" s="7"/>
      <c r="E49" s="437"/>
      <c r="F49" s="7"/>
      <c r="G49" s="437"/>
      <c r="H49" s="431"/>
      <c r="I49" s="168"/>
      <c r="J49" s="125"/>
      <c r="K49" s="437"/>
      <c r="L49" s="431"/>
      <c r="M49" s="389"/>
      <c r="N49" s="70"/>
      <c r="O49" s="87"/>
      <c r="P49" s="204"/>
      <c r="Q49" s="417"/>
      <c r="R49" s="479">
        <f>A4</f>
        <v>0</v>
      </c>
      <c r="S49" s="478">
        <f>A4/A2</f>
        <v>0</v>
      </c>
      <c r="T49" s="204"/>
      <c r="U49" s="417"/>
      <c r="V49" s="70"/>
      <c r="W49" s="87"/>
      <c r="X49" s="204"/>
      <c r="Y49" s="406"/>
      <c r="Z49" s="70"/>
      <c r="AA49" s="87"/>
      <c r="AB49" s="204"/>
      <c r="AC49" s="417"/>
      <c r="AD49" s="70"/>
      <c r="AE49" s="87"/>
      <c r="AF49" s="204"/>
      <c r="AG49" s="417"/>
      <c r="AH49" s="70"/>
      <c r="AI49" s="103"/>
      <c r="AJ49" s="187"/>
      <c r="AK49" s="417"/>
      <c r="AL49" s="70"/>
      <c r="AM49" s="114"/>
      <c r="AN49" s="204"/>
      <c r="AO49" s="417"/>
      <c r="AP49" s="70"/>
      <c r="AQ49" s="87"/>
      <c r="AR49" s="204"/>
      <c r="AS49" s="417"/>
      <c r="AT49" s="70"/>
      <c r="AU49" s="87"/>
      <c r="AV49" s="204"/>
      <c r="AW49" s="417"/>
      <c r="AX49" s="70"/>
      <c r="AY49" s="87"/>
      <c r="AZ49" s="204"/>
      <c r="BA49" s="417"/>
      <c r="BB49" s="70"/>
      <c r="BC49" s="87"/>
      <c r="BD49" s="204"/>
      <c r="BE49" s="417"/>
      <c r="BF49" s="70"/>
      <c r="BG49" s="87"/>
      <c r="BH49" s="204"/>
      <c r="BI49" s="417"/>
    </row>
    <row r="50" spans="1:61" x14ac:dyDescent="0.2">
      <c r="A50" s="24" t="s">
        <v>103</v>
      </c>
      <c r="B50" s="378"/>
      <c r="C50" s="153"/>
      <c r="D50" s="7"/>
      <c r="E50" s="437"/>
      <c r="F50" s="7"/>
      <c r="G50" s="437"/>
      <c r="H50" s="431"/>
      <c r="I50" s="168"/>
      <c r="J50" s="125"/>
      <c r="K50" s="437"/>
      <c r="L50" s="431"/>
      <c r="M50" s="389"/>
      <c r="N50" s="70"/>
      <c r="O50" s="87"/>
      <c r="P50" s="204"/>
      <c r="Q50" s="417"/>
      <c r="R50" s="70"/>
      <c r="S50" s="87"/>
      <c r="T50" s="479">
        <f>A4/3</f>
        <v>0</v>
      </c>
      <c r="U50" s="478">
        <f>(A4/3)/A2</f>
        <v>0</v>
      </c>
      <c r="V50" s="70"/>
      <c r="W50" s="87"/>
      <c r="X50" s="204"/>
      <c r="Y50" s="406"/>
      <c r="Z50" s="70"/>
      <c r="AA50" s="87"/>
      <c r="AB50" s="204"/>
      <c r="AC50" s="417"/>
      <c r="AD50" s="70"/>
      <c r="AE50" s="87"/>
      <c r="AF50" s="204"/>
      <c r="AG50" s="417"/>
      <c r="AH50" s="70"/>
      <c r="AI50" s="103"/>
      <c r="AJ50" s="187"/>
      <c r="AK50" s="417"/>
      <c r="AL50" s="70"/>
      <c r="AM50" s="114"/>
      <c r="AN50" s="204"/>
      <c r="AO50" s="417"/>
      <c r="AP50" s="70"/>
      <c r="AQ50" s="87"/>
      <c r="AR50" s="204"/>
      <c r="AS50" s="417"/>
      <c r="AT50" s="70"/>
      <c r="AU50" s="87"/>
      <c r="AV50" s="204"/>
      <c r="AW50" s="417"/>
      <c r="AX50" s="70"/>
      <c r="AY50" s="87"/>
      <c r="AZ50" s="204"/>
      <c r="BA50" s="417"/>
      <c r="BB50" s="70"/>
      <c r="BC50" s="87"/>
      <c r="BD50" s="204"/>
      <c r="BE50" s="417"/>
      <c r="BF50" s="70"/>
      <c r="BG50" s="87"/>
      <c r="BH50" s="204"/>
      <c r="BI50" s="417"/>
    </row>
    <row r="51" spans="1:61" x14ac:dyDescent="0.2">
      <c r="A51" s="22" t="s">
        <v>13</v>
      </c>
      <c r="B51" s="378"/>
      <c r="C51" s="153"/>
      <c r="D51" s="7"/>
      <c r="E51" s="437"/>
      <c r="F51" s="7"/>
      <c r="G51" s="437"/>
      <c r="H51" s="431"/>
      <c r="I51" s="168"/>
      <c r="J51" s="125"/>
      <c r="K51" s="437"/>
      <c r="L51" s="431"/>
      <c r="M51" s="389"/>
      <c r="N51" s="70"/>
      <c r="O51" s="87"/>
      <c r="P51" s="204"/>
      <c r="Q51" s="417"/>
      <c r="R51" s="70"/>
      <c r="S51" s="87"/>
      <c r="T51" s="204"/>
      <c r="U51" s="417"/>
      <c r="V51" s="479">
        <f>A4</f>
        <v>0</v>
      </c>
      <c r="W51" s="478">
        <f>A4/A2</f>
        <v>0</v>
      </c>
      <c r="X51" s="479">
        <f>X44*0.75</f>
        <v>0</v>
      </c>
      <c r="Y51" s="509">
        <f>Y44*0.75</f>
        <v>0</v>
      </c>
      <c r="Z51" s="479">
        <f>Z44*0.75</f>
        <v>0</v>
      </c>
      <c r="AA51" s="478">
        <f>AA44*0.75</f>
        <v>0</v>
      </c>
      <c r="AB51" s="204"/>
      <c r="AC51" s="417"/>
      <c r="AD51" s="70"/>
      <c r="AE51" s="87"/>
      <c r="AF51" s="204"/>
      <c r="AG51" s="417"/>
      <c r="AH51" s="70"/>
      <c r="AI51" s="103"/>
      <c r="AJ51" s="187"/>
      <c r="AK51" s="417"/>
      <c r="AL51" s="70"/>
      <c r="AM51" s="114"/>
      <c r="AN51" s="204"/>
      <c r="AO51" s="417"/>
      <c r="AP51" s="70"/>
      <c r="AQ51" s="87"/>
      <c r="AR51" s="204"/>
      <c r="AS51" s="417"/>
      <c r="AT51" s="70"/>
      <c r="AU51" s="87"/>
      <c r="AV51" s="204"/>
      <c r="AW51" s="417"/>
      <c r="AX51" s="70"/>
      <c r="AY51" s="87"/>
      <c r="AZ51" s="204"/>
      <c r="BA51" s="417"/>
      <c r="BB51" s="70"/>
      <c r="BC51" s="87"/>
      <c r="BD51" s="204"/>
      <c r="BE51" s="417"/>
      <c r="BF51" s="70"/>
      <c r="BG51" s="87"/>
      <c r="BH51" s="204"/>
      <c r="BI51" s="417"/>
    </row>
    <row r="52" spans="1:61" x14ac:dyDescent="0.2">
      <c r="A52" s="22" t="s">
        <v>4</v>
      </c>
      <c r="B52" s="378"/>
      <c r="C52" s="153"/>
      <c r="D52" s="7"/>
      <c r="E52" s="437"/>
      <c r="F52" s="7"/>
      <c r="G52" s="437"/>
      <c r="H52" s="431"/>
      <c r="I52" s="168"/>
      <c r="J52" s="125"/>
      <c r="K52" s="437"/>
      <c r="L52" s="431"/>
      <c r="M52" s="389"/>
      <c r="N52" s="70"/>
      <c r="O52" s="87"/>
      <c r="P52" s="204"/>
      <c r="Q52" s="417"/>
      <c r="R52" s="70"/>
      <c r="S52" s="87"/>
      <c r="T52" s="204"/>
      <c r="U52" s="417"/>
      <c r="V52" s="70"/>
      <c r="W52" s="87"/>
      <c r="X52" s="204"/>
      <c r="Y52" s="406"/>
      <c r="Z52" s="70"/>
      <c r="AA52" s="87"/>
      <c r="AB52" s="400">
        <f>A4</f>
        <v>0</v>
      </c>
      <c r="AC52" s="421">
        <f>A4/A2</f>
        <v>0</v>
      </c>
      <c r="AD52" s="70"/>
      <c r="AE52" s="87"/>
      <c r="AF52" s="204"/>
      <c r="AG52" s="417"/>
      <c r="AH52" s="70"/>
      <c r="AI52" s="103"/>
      <c r="AJ52" s="187"/>
      <c r="AK52" s="417"/>
      <c r="AL52" s="70"/>
      <c r="AM52" s="114"/>
      <c r="AN52" s="204"/>
      <c r="AO52" s="417"/>
      <c r="AP52" s="70"/>
      <c r="AQ52" s="87"/>
      <c r="AR52" s="204"/>
      <c r="AS52" s="417"/>
      <c r="AT52" s="70"/>
      <c r="AU52" s="87"/>
      <c r="AV52" s="204"/>
      <c r="AW52" s="417"/>
      <c r="AX52" s="70"/>
      <c r="AY52" s="87"/>
      <c r="AZ52" s="204"/>
      <c r="BA52" s="417"/>
      <c r="BB52" s="70"/>
      <c r="BC52" s="87"/>
      <c r="BD52" s="204"/>
      <c r="BE52" s="417"/>
      <c r="BF52" s="70"/>
      <c r="BG52" s="87"/>
      <c r="BH52" s="204"/>
      <c r="BI52" s="417"/>
    </row>
    <row r="53" spans="1:61" x14ac:dyDescent="0.2">
      <c r="A53" s="22" t="s">
        <v>71</v>
      </c>
      <c r="B53" s="378"/>
      <c r="C53" s="153"/>
      <c r="D53" s="7"/>
      <c r="E53" s="437"/>
      <c r="F53" s="7"/>
      <c r="G53" s="437"/>
      <c r="H53" s="431"/>
      <c r="I53" s="168"/>
      <c r="J53" s="125"/>
      <c r="K53" s="437"/>
      <c r="L53" s="431"/>
      <c r="M53" s="389"/>
      <c r="N53" s="70"/>
      <c r="O53" s="87"/>
      <c r="P53" s="204"/>
      <c r="Q53" s="417"/>
      <c r="R53" s="70"/>
      <c r="S53" s="87"/>
      <c r="T53" s="204"/>
      <c r="U53" s="417"/>
      <c r="V53" s="70"/>
      <c r="W53" s="87"/>
      <c r="X53" s="204"/>
      <c r="Y53" s="406"/>
      <c r="Z53" s="70"/>
      <c r="AA53" s="87"/>
      <c r="AB53" s="204"/>
      <c r="AC53" s="417"/>
      <c r="AD53" s="479">
        <f>A4*0.75</f>
        <v>0</v>
      </c>
      <c r="AE53" s="478">
        <f>(A4*0.75)/A2</f>
        <v>0</v>
      </c>
      <c r="AF53" s="204"/>
      <c r="AG53" s="417"/>
      <c r="AH53" s="70"/>
      <c r="AI53" s="103"/>
      <c r="AJ53" s="187"/>
      <c r="AK53" s="417"/>
      <c r="AL53" s="70"/>
      <c r="AM53" s="114"/>
      <c r="AN53" s="204"/>
      <c r="AO53" s="417"/>
      <c r="AP53" s="70"/>
      <c r="AQ53" s="87"/>
      <c r="AR53" s="204"/>
      <c r="AS53" s="417"/>
      <c r="AT53" s="70"/>
      <c r="AU53" s="87"/>
      <c r="AV53" s="204"/>
      <c r="AW53" s="417"/>
      <c r="AX53" s="70"/>
      <c r="AY53" s="87"/>
      <c r="AZ53" s="204"/>
      <c r="BA53" s="417"/>
      <c r="BB53" s="70"/>
      <c r="BC53" s="87"/>
      <c r="BD53" s="479">
        <f>A4*0.75</f>
        <v>0</v>
      </c>
      <c r="BE53" s="478">
        <f>(A4*0.75)/A2</f>
        <v>0</v>
      </c>
      <c r="BF53" s="70"/>
      <c r="BG53" s="87"/>
      <c r="BH53" s="204"/>
      <c r="BI53" s="417"/>
    </row>
    <row r="54" spans="1:61" x14ac:dyDescent="0.2">
      <c r="A54" s="343" t="s">
        <v>43</v>
      </c>
      <c r="B54" s="380"/>
      <c r="C54" s="160"/>
      <c r="D54" s="19"/>
      <c r="E54" s="439"/>
      <c r="F54" s="7"/>
      <c r="G54" s="437"/>
      <c r="H54" s="429"/>
      <c r="I54" s="170"/>
      <c r="J54" s="127"/>
      <c r="K54" s="439"/>
      <c r="L54" s="431"/>
      <c r="M54" s="389"/>
      <c r="N54" s="72"/>
      <c r="O54" s="89"/>
      <c r="P54" s="202"/>
      <c r="Q54" s="418"/>
      <c r="R54" s="72"/>
      <c r="S54" s="89"/>
      <c r="T54" s="202"/>
      <c r="U54" s="418"/>
      <c r="V54" s="72"/>
      <c r="W54" s="89"/>
      <c r="X54" s="202"/>
      <c r="Y54" s="408"/>
      <c r="Z54" s="72"/>
      <c r="AA54" s="89"/>
      <c r="AB54" s="202"/>
      <c r="AC54" s="418"/>
      <c r="AD54" s="72"/>
      <c r="AE54" s="89"/>
      <c r="AF54" s="202"/>
      <c r="AG54" s="418"/>
      <c r="AH54" s="501">
        <f>IF(A4=0,0,100)</f>
        <v>0</v>
      </c>
      <c r="AI54" s="502">
        <f>AH54/A2</f>
        <v>0</v>
      </c>
      <c r="AJ54" s="506">
        <f>IF(A4=0,0,100)</f>
        <v>0</v>
      </c>
      <c r="AK54" s="507">
        <f>AJ54/A2</f>
        <v>0</v>
      </c>
      <c r="AL54" s="501">
        <f>IF(A4=0,0,100)</f>
        <v>0</v>
      </c>
      <c r="AM54" s="502">
        <f>AL54/A2</f>
        <v>0</v>
      </c>
      <c r="AN54" s="357">
        <f>IF(A4=0,0,100)</f>
        <v>0</v>
      </c>
      <c r="AO54" s="460">
        <f>AN54/A2</f>
        <v>0</v>
      </c>
      <c r="AP54" s="72"/>
      <c r="AQ54" s="89"/>
      <c r="AR54" s="202"/>
      <c r="AS54" s="418"/>
      <c r="AT54" s="72"/>
      <c r="AU54" s="89"/>
      <c r="AV54" s="202"/>
      <c r="AW54" s="418"/>
      <c r="AX54" s="72"/>
      <c r="AY54" s="89"/>
      <c r="AZ54" s="202"/>
      <c r="BA54" s="418"/>
      <c r="BB54" s="72"/>
      <c r="BC54" s="89"/>
      <c r="BD54" s="202"/>
      <c r="BE54" s="418"/>
      <c r="BF54" s="70"/>
      <c r="BG54" s="87"/>
      <c r="BH54" s="204"/>
      <c r="BI54" s="417"/>
    </row>
    <row r="55" spans="1:61" x14ac:dyDescent="0.2">
      <c r="A55" s="525" t="s">
        <v>130</v>
      </c>
      <c r="B55" s="380"/>
      <c r="C55" s="160"/>
      <c r="D55" s="19"/>
      <c r="E55" s="439"/>
      <c r="F55" s="19"/>
      <c r="G55" s="439"/>
      <c r="H55" s="429"/>
      <c r="I55" s="170"/>
      <c r="J55" s="127"/>
      <c r="K55" s="439"/>
      <c r="L55" s="431"/>
      <c r="M55" s="389"/>
      <c r="N55" s="72"/>
      <c r="O55" s="89"/>
      <c r="P55" s="202"/>
      <c r="Q55" s="418"/>
      <c r="R55" s="72"/>
      <c r="S55" s="89"/>
      <c r="T55" s="202"/>
      <c r="U55" s="418"/>
      <c r="V55" s="72"/>
      <c r="W55" s="89"/>
      <c r="X55" s="202"/>
      <c r="Y55" s="408"/>
      <c r="Z55" s="72"/>
      <c r="AA55" s="89"/>
      <c r="AB55" s="202"/>
      <c r="AC55" s="418"/>
      <c r="AD55" s="72"/>
      <c r="AE55" s="89"/>
      <c r="AF55" s="202"/>
      <c r="AG55" s="418"/>
      <c r="AH55" s="392"/>
      <c r="AI55" s="499"/>
      <c r="AJ55" s="497"/>
      <c r="AK55" s="496"/>
      <c r="AL55" s="392"/>
      <c r="AM55" s="499"/>
      <c r="AN55" s="497"/>
      <c r="AO55" s="496"/>
      <c r="AP55" s="72"/>
      <c r="AQ55" s="89"/>
      <c r="AR55" s="202"/>
      <c r="AS55" s="418"/>
      <c r="AT55" s="72"/>
      <c r="AU55" s="89"/>
      <c r="AV55" s="202"/>
      <c r="AW55" s="418"/>
      <c r="AX55" s="72"/>
      <c r="AY55" s="89"/>
      <c r="AZ55" s="202"/>
      <c r="BA55" s="418"/>
      <c r="BB55" s="72"/>
      <c r="BC55" s="89"/>
      <c r="BD55" s="202"/>
      <c r="BE55" s="418"/>
      <c r="BF55" s="477">
        <f>BF44*0.65</f>
        <v>0</v>
      </c>
      <c r="BG55" s="478">
        <f>BG44*0.65</f>
        <v>0</v>
      </c>
      <c r="BH55" s="204"/>
      <c r="BI55" s="417"/>
    </row>
    <row r="56" spans="1:61" x14ac:dyDescent="0.2">
      <c r="A56" s="525" t="s">
        <v>131</v>
      </c>
      <c r="B56" s="380"/>
      <c r="C56" s="160"/>
      <c r="D56" s="19"/>
      <c r="E56" s="439"/>
      <c r="F56" s="19"/>
      <c r="G56" s="439"/>
      <c r="H56" s="429"/>
      <c r="I56" s="170"/>
      <c r="J56" s="127"/>
      <c r="K56" s="439"/>
      <c r="L56" s="431"/>
      <c r="M56" s="389"/>
      <c r="N56" s="72"/>
      <c r="O56" s="89"/>
      <c r="P56" s="202"/>
      <c r="Q56" s="418"/>
      <c r="R56" s="72"/>
      <c r="S56" s="89"/>
      <c r="T56" s="202"/>
      <c r="U56" s="418"/>
      <c r="V56" s="72"/>
      <c r="W56" s="89"/>
      <c r="X56" s="202"/>
      <c r="Y56" s="408"/>
      <c r="Z56" s="72"/>
      <c r="AA56" s="89"/>
      <c r="AB56" s="202"/>
      <c r="AC56" s="418"/>
      <c r="AD56" s="72"/>
      <c r="AE56" s="89"/>
      <c r="AF56" s="202"/>
      <c r="AG56" s="418"/>
      <c r="AH56" s="392"/>
      <c r="AI56" s="499"/>
      <c r="AJ56" s="497"/>
      <c r="AK56" s="496"/>
      <c r="AL56" s="392"/>
      <c r="AM56" s="499"/>
      <c r="AN56" s="498"/>
      <c r="AO56" s="496"/>
      <c r="AP56" s="72"/>
      <c r="AQ56" s="89"/>
      <c r="AR56" s="202"/>
      <c r="AS56" s="418"/>
      <c r="AT56" s="72"/>
      <c r="AU56" s="89"/>
      <c r="AV56" s="202"/>
      <c r="AW56" s="418"/>
      <c r="AX56" s="72"/>
      <c r="AY56" s="89"/>
      <c r="AZ56" s="202"/>
      <c r="BA56" s="418"/>
      <c r="BB56" s="72"/>
      <c r="BC56" s="89"/>
      <c r="BD56" s="202"/>
      <c r="BE56" s="418"/>
      <c r="BF56" s="477">
        <f>BF44*0.25</f>
        <v>0</v>
      </c>
      <c r="BG56" s="478">
        <f>BG44*0.25</f>
        <v>0</v>
      </c>
      <c r="BH56" s="204"/>
      <c r="BI56" s="417"/>
    </row>
    <row r="57" spans="1:61" ht="13.5" thickBot="1" x14ac:dyDescent="0.25">
      <c r="A57" s="390" t="s">
        <v>97</v>
      </c>
      <c r="B57" s="384"/>
      <c r="C57" s="368"/>
      <c r="D57" s="345"/>
      <c r="E57" s="472"/>
      <c r="F57" s="19"/>
      <c r="G57" s="439"/>
      <c r="H57" s="469"/>
      <c r="I57" s="369"/>
      <c r="J57" s="347"/>
      <c r="K57" s="472"/>
      <c r="L57" s="469"/>
      <c r="M57" s="369"/>
      <c r="N57" s="346"/>
      <c r="O57" s="448"/>
      <c r="P57" s="455"/>
      <c r="Q57" s="454"/>
      <c r="R57" s="449"/>
      <c r="S57" s="448"/>
      <c r="T57" s="455"/>
      <c r="U57" s="454"/>
      <c r="V57" s="449"/>
      <c r="W57" s="448"/>
      <c r="X57" s="455"/>
      <c r="Y57" s="466"/>
      <c r="Z57" s="449"/>
      <c r="AA57" s="448"/>
      <c r="AB57" s="455"/>
      <c r="AC57" s="454"/>
      <c r="AD57" s="449"/>
      <c r="AE57" s="448"/>
      <c r="AF57" s="455"/>
      <c r="AG57" s="454"/>
      <c r="AH57" s="462"/>
      <c r="AI57" s="358"/>
      <c r="AJ57" s="356"/>
      <c r="AK57" s="461"/>
      <c r="AL57" s="462"/>
      <c r="AM57" s="358"/>
      <c r="AN57" s="356"/>
      <c r="AO57" s="461"/>
      <c r="AP57" s="449"/>
      <c r="AQ57" s="448"/>
      <c r="AR57" s="455"/>
      <c r="AS57" s="454"/>
      <c r="AT57" s="449"/>
      <c r="AU57" s="448"/>
      <c r="AV57" s="455"/>
      <c r="AW57" s="454"/>
      <c r="AX57" s="449"/>
      <c r="AY57" s="448"/>
      <c r="AZ57" s="492">
        <f>AZ44</f>
        <v>0</v>
      </c>
      <c r="BA57" s="493">
        <f>BA44</f>
        <v>0</v>
      </c>
      <c r="BB57" s="449"/>
      <c r="BC57" s="448"/>
      <c r="BD57" s="455"/>
      <c r="BE57" s="454"/>
      <c r="BF57" s="490"/>
      <c r="BG57" s="491"/>
      <c r="BH57" s="521"/>
      <c r="BI57" s="522"/>
    </row>
    <row r="58" spans="1:61" ht="13.5" thickBot="1" x14ac:dyDescent="0.25">
      <c r="A58" s="344"/>
      <c r="B58" s="344"/>
      <c r="C58" s="344"/>
      <c r="D58" s="344"/>
      <c r="E58" s="344"/>
      <c r="F58" s="345"/>
      <c r="G58" s="472"/>
      <c r="H58" s="344"/>
      <c r="I58" s="344"/>
      <c r="J58" s="344"/>
      <c r="K58" s="344"/>
      <c r="L58" s="344"/>
      <c r="M58" s="344"/>
      <c r="N58" s="344"/>
      <c r="O58" s="344"/>
      <c r="P58" s="344"/>
      <c r="Q58" s="344"/>
      <c r="R58" s="344"/>
      <c r="S58" s="344"/>
      <c r="T58" s="344"/>
      <c r="U58" s="344"/>
      <c r="V58" s="344"/>
      <c r="W58" s="344"/>
      <c r="X58" s="344"/>
      <c r="Y58" s="344"/>
      <c r="Z58" s="344"/>
      <c r="AA58" s="344"/>
      <c r="AB58" s="344"/>
      <c r="AC58" s="344"/>
      <c r="AD58" s="344"/>
      <c r="AE58" s="344"/>
      <c r="AF58" s="344"/>
      <c r="AG58" s="344"/>
      <c r="AH58" s="344"/>
      <c r="AI58" s="344"/>
      <c r="AJ58" s="344"/>
      <c r="AK58" s="344"/>
      <c r="AL58" s="344"/>
      <c r="AM58" s="344"/>
      <c r="AN58" s="344"/>
      <c r="AO58" s="344"/>
      <c r="AP58" s="344"/>
      <c r="AQ58" s="344"/>
      <c r="AR58" s="344"/>
      <c r="AS58" s="344"/>
      <c r="AT58" s="344"/>
      <c r="AU58" s="344"/>
      <c r="AV58" s="3"/>
      <c r="AW58" s="3"/>
      <c r="AX58" s="3"/>
      <c r="AY58" s="3"/>
    </row>
    <row r="59" spans="1:61" x14ac:dyDescent="0.2">
      <c r="B59" s="524" t="s">
        <v>128</v>
      </c>
      <c r="C59" s="524" t="s">
        <v>129</v>
      </c>
    </row>
    <row r="60" spans="1:61" x14ac:dyDescent="0.2">
      <c r="A60" s="143" t="s">
        <v>93</v>
      </c>
      <c r="B60" s="142">
        <v>100</v>
      </c>
      <c r="C60">
        <f>((B60-25)/207.5)*100</f>
        <v>36.144578313253014</v>
      </c>
    </row>
    <row r="62" spans="1:61" x14ac:dyDescent="0.2">
      <c r="A62" s="144" t="s">
        <v>94</v>
      </c>
      <c r="B62" s="142">
        <v>105</v>
      </c>
      <c r="C62">
        <f>((B62-50)/207.5)*100</f>
        <v>26.506024096385545</v>
      </c>
    </row>
  </sheetData>
  <protectedRanges>
    <protectedRange sqref="G18" name="Range1_1"/>
  </protectedRanges>
  <mergeCells count="40">
    <mergeCell ref="F17:G17"/>
    <mergeCell ref="F19:G19"/>
    <mergeCell ref="BF19:BG19"/>
    <mergeCell ref="BH19:BI19"/>
    <mergeCell ref="AT19:AU19"/>
    <mergeCell ref="AV19:AW19"/>
    <mergeCell ref="AX19:AY19"/>
    <mergeCell ref="AZ19:BA19"/>
    <mergeCell ref="BB19:BC19"/>
    <mergeCell ref="BD19:BE19"/>
    <mergeCell ref="AH19:AI19"/>
    <mergeCell ref="AJ19:AK19"/>
    <mergeCell ref="AL19:AM19"/>
    <mergeCell ref="AN19:AO19"/>
    <mergeCell ref="AP19:AQ19"/>
    <mergeCell ref="AR19:AS19"/>
    <mergeCell ref="AJ17:AM17"/>
    <mergeCell ref="J18:K18"/>
    <mergeCell ref="L18:M18"/>
    <mergeCell ref="N18:O18"/>
    <mergeCell ref="V19:W19"/>
    <mergeCell ref="X19:Y19"/>
    <mergeCell ref="Z19:AA19"/>
    <mergeCell ref="AB19:AC19"/>
    <mergeCell ref="AD19:AE19"/>
    <mergeCell ref="N19:O19"/>
    <mergeCell ref="P19:Q19"/>
    <mergeCell ref="R19:S19"/>
    <mergeCell ref="T19:U19"/>
    <mergeCell ref="AH17:AI18"/>
    <mergeCell ref="AF18:AG18"/>
    <mergeCell ref="AJ18:AK18"/>
    <mergeCell ref="AL18:AM18"/>
    <mergeCell ref="AF19:AG19"/>
    <mergeCell ref="AN18:AO18"/>
    <mergeCell ref="B19:C19"/>
    <mergeCell ref="D19:E19"/>
    <mergeCell ref="H19:I19"/>
    <mergeCell ref="J19:K19"/>
    <mergeCell ref="L19:M19"/>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11" sqref="B11"/>
    </sheetView>
  </sheetViews>
  <sheetFormatPr defaultRowHeight="12.7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MASC Document" ma:contentTypeID="0x0101006D4637B91E6AA24BB80B3587B03E1F93003CDE89E7477B6841A430E64EC0225791" ma:contentTypeVersion="13" ma:contentTypeDescription="" ma:contentTypeScope="" ma:versionID="dc42b6618c702b041524585ae08f5f62">
  <xsd:schema xmlns:xsd="http://www.w3.org/2001/XMLSchema" xmlns:xs="http://www.w3.org/2001/XMLSchema" xmlns:p="http://schemas.microsoft.com/office/2006/metadata/properties" xmlns:ns1="http://schemas.microsoft.com/sharepoint/v3" xmlns:ns2="958926b8-2a0c-4601-a0b4-835049e543ef" xmlns:ns3="http://schemas.microsoft.com/sharepoint/v3/fields" xmlns:ns4="f44b9f0a-3c85-4606-9219-aac19508653f" targetNamespace="http://schemas.microsoft.com/office/2006/metadata/properties" ma:root="true" ma:fieldsID="bbdc327dd52ecaf982cae8ae6e4d7af3" ns1:_="" ns2:_="" ns3:_="" ns4:_="">
    <xsd:import namespace="http://schemas.microsoft.com/sharepoint/v3"/>
    <xsd:import namespace="958926b8-2a0c-4601-a0b4-835049e543ef"/>
    <xsd:import namespace="http://schemas.microsoft.com/sharepoint/v3/fields"/>
    <xsd:import namespace="f44b9f0a-3c85-4606-9219-aac19508653f"/>
    <xsd:element name="properties">
      <xsd:complexType>
        <xsd:sequence>
          <xsd:element name="documentManagement">
            <xsd:complexType>
              <xsd:all>
                <xsd:element ref="ns2:b24b5b4fc00b4f18883a29817037a193" minOccurs="0"/>
                <xsd:element ref="ns2:TaxCatchAll" minOccurs="0"/>
                <xsd:element ref="ns2:TaxCatchAllLabel" minOccurs="0"/>
                <xsd:element ref="ns3:_Version" minOccurs="0"/>
                <xsd:element ref="ns4:Season" minOccurs="0"/>
                <xsd:element ref="ns4:Year" minOccurs="0"/>
                <xsd:element ref="ns4:Date" minOccurs="0"/>
                <xsd:element ref="ns2:ReviewPeriod" minOccurs="0"/>
                <xsd:element ref="ns1:PublishingContac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 ma:index="19" nillable="true" ma:displayName="Contact" ma:description="Contact is a site column created by the Publishing feature. It is used on the Page Content Type as the person or group who is the contact person for the page." ma:list="UserInfo" ma:internalName="Contac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58926b8-2a0c-4601-a0b4-835049e543ef" elementFormDefault="qualified">
    <xsd:import namespace="http://schemas.microsoft.com/office/2006/documentManagement/types"/>
    <xsd:import namespace="http://schemas.microsoft.com/office/infopath/2007/PartnerControls"/>
    <xsd:element name="b24b5b4fc00b4f18883a29817037a193" ma:index="8" nillable="true" ma:taxonomy="true" ma:internalName="b24b5b4fc00b4f18883a29817037a193" ma:taxonomyFieldName="Taxonomy" ma:displayName="Taxonomy" ma:default="" ma:fieldId="{b24b5b4f-c00b-4f18-883a-29817037a193}" ma:taxonomyMulti="true" ma:sspId="2d53775a-ffec-4ffe-af9e-b178d98ea454" ma:termSetId="fa562827-2d33-4527-ac5d-e6045d76b65f"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e6f66106-d578-4031-8f43-c1bbc71e6623}" ma:internalName="TaxCatchAll" ma:showField="CatchAllData" ma:web="958926b8-2a0c-4601-a0b4-835049e543ef">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e6f66106-d578-4031-8f43-c1bbc71e6623}" ma:internalName="TaxCatchAllLabel" ma:readOnly="true" ma:showField="CatchAllDataLabel" ma:web="958926b8-2a0c-4601-a0b4-835049e543ef">
      <xsd:complexType>
        <xsd:complexContent>
          <xsd:extension base="dms:MultiChoiceLookup">
            <xsd:sequence>
              <xsd:element name="Value" type="dms:Lookup" maxOccurs="unbounded" minOccurs="0" nillable="true"/>
            </xsd:sequence>
          </xsd:extension>
        </xsd:complexContent>
      </xsd:complexType>
    </xsd:element>
    <xsd:element name="ReviewPeriod" ma:index="18" nillable="true" ma:displayName="Review Period" ma:format="Dropdown" ma:internalName="Review_x0020_Period">
      <xsd:simpleType>
        <xsd:restriction base="dms:Choice">
          <xsd:enumeration value="3 Months"/>
          <xsd:enumeration value="6 Months"/>
          <xsd:enumeration value="1 Year"/>
          <xsd:enumeration value="3 Years"/>
          <xsd:enumeration value="5 Years"/>
          <xsd:enumeration value="3 Months (Delete)"/>
          <xsd:enumeration value="6 Months (Delete)"/>
          <xsd:enumeration value="1 Year (Delete)"/>
          <xsd:enumeration value="3 Years (Delete)"/>
          <xsd:enumeration value="5 Years (Delete)"/>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12" nillable="true" ma:displayName="Version" ma:hidden="true" ma:internalName="_Vers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44b9f0a-3c85-4606-9219-aac19508653f" elementFormDefault="qualified">
    <xsd:import namespace="http://schemas.microsoft.com/office/2006/documentManagement/types"/>
    <xsd:import namespace="http://schemas.microsoft.com/office/infopath/2007/PartnerControls"/>
    <xsd:element name="Season" ma:index="13" nillable="true" ma:displayName="Season" ma:format="Dropdown" ma:internalName="Season">
      <xsd:simpleType>
        <xsd:restriction base="dms:Choice">
          <xsd:enumeration value="Winter"/>
          <xsd:enumeration value="Spring"/>
          <xsd:enumeration value="Summer"/>
          <xsd:enumeration value="Fall"/>
        </xsd:restriction>
      </xsd:simpleType>
    </xsd:element>
    <xsd:element name="Year" ma:index="14" nillable="true" ma:displayName="Year" ma:decimals="0" ma:internalName="Year">
      <xsd:simpleType>
        <xsd:restriction base="dms:Number"/>
      </xsd:simpleType>
    </xsd:element>
    <xsd:element name="Date" ma:index="17" nillable="true" ma:displayName="Date" ma:format="DateOnly" ma:internalName="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Version xmlns="http://schemas.microsoft.com/sharepoint/v3/fields" xsi:nil="true"/>
    <b24b5b4fc00b4f18883a29817037a193 xmlns="958926b8-2a0c-4601-a0b4-835049e543ef">
      <Terms xmlns="http://schemas.microsoft.com/office/infopath/2007/PartnerControls">
        <TermInfo xmlns="http://schemas.microsoft.com/office/infopath/2007/PartnerControls">
          <TermName xmlns="http://schemas.microsoft.com/office/infopath/2007/PartnerControls">Municipal Court Administration Association of SC</TermName>
          <TermId xmlns="http://schemas.microsoft.com/office/infopath/2007/PartnerControls">282d9cfd-790a-4d99-a981-d03ec05ba4b1</TermId>
        </TermInfo>
      </Terms>
    </b24b5b4fc00b4f18883a29817037a193>
    <ReviewPeriod xmlns="958926b8-2a0c-4601-a0b4-835049e543ef">6 Months</ReviewPeriod>
    <Year xmlns="f44b9f0a-3c85-4606-9219-aac19508653f" xsi:nil="true"/>
    <Date xmlns="f44b9f0a-3c85-4606-9219-aac19508653f">2021-08-03T04:00:00+00:00</Date>
    <Season xmlns="f44b9f0a-3c85-4606-9219-aac19508653f" xsi:nil="true"/>
    <TaxCatchAll xmlns="958926b8-2a0c-4601-a0b4-835049e543ef">
      <Value>49</Value>
    </TaxCatchAll>
    <PublishingContact xmlns="http://schemas.microsoft.com/sharepoint/v3">
      <UserInfo>
        <DisplayName>sara whitaker</DisplayName>
        <AccountId>5507</AccountId>
        <AccountType/>
      </UserInfo>
    </PublishingContact>
  </documentManagement>
</p:properties>
</file>

<file path=customXml/itemProps1.xml><?xml version="1.0" encoding="utf-8"?>
<ds:datastoreItem xmlns:ds="http://schemas.openxmlformats.org/officeDocument/2006/customXml" ds:itemID="{710AB930-8319-49B6-9D82-D13DC479400D}"/>
</file>

<file path=customXml/itemProps2.xml><?xml version="1.0" encoding="utf-8"?>
<ds:datastoreItem xmlns:ds="http://schemas.openxmlformats.org/officeDocument/2006/customXml" ds:itemID="{5C1D2E6B-A946-4BBE-88D5-A2F7491F2F88}"/>
</file>

<file path=customXml/itemProps3.xml><?xml version="1.0" encoding="utf-8"?>
<ds:datastoreItem xmlns:ds="http://schemas.openxmlformats.org/officeDocument/2006/customXml" ds:itemID="{EE808B89-0590-4AD9-BE80-C4173CE220D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GS Court</vt:lpstr>
      <vt:lpstr>Magistrate Court</vt:lpstr>
      <vt:lpstr>Municipal Court A</vt:lpstr>
      <vt:lpstr>Attachment M</vt:lpstr>
      <vt:lpstr>'GS Court'!Print_Area</vt:lpstr>
      <vt:lpstr>'Magistrate Court'!Print_Area</vt:lpstr>
    </vt:vector>
  </TitlesOfParts>
  <Company>S.C. Judicial Dept.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TLeverette</dc:creator>
  <cp:lastModifiedBy>Leverette, Terry</cp:lastModifiedBy>
  <cp:lastPrinted>2010-07-16T15:00:27Z</cp:lastPrinted>
  <dcterms:created xsi:type="dcterms:W3CDTF">2002-06-17T14:24:35Z</dcterms:created>
  <dcterms:modified xsi:type="dcterms:W3CDTF">2021-04-09T14:38:33Z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0x0101006D4637B91E6AA24BB80B3587B03E1F93003CDE89E7477B6841A430E64EC0225791</vt:lpwstr>
  </property>
  <property fmtid="{D5CDD505-2E9C-101B-9397-08002B2CF9AE}" pid="3" name="Taxonomy">
    <vt:lpwstr>49;#Municipal Court Administration Association of SC|282d9cfd-790a-4d99-a981-d03ec05ba4b1</vt:lpwstr>
  </property>
</Properties>
</file>